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U:\SOE UNIT\2021 Budget\"/>
    </mc:Choice>
  </mc:AlternateContent>
  <bookViews>
    <workbookView xWindow="0" yWindow="0" windowWidth="20490" windowHeight="7620" activeTab="2"/>
  </bookViews>
  <sheets>
    <sheet name="Statutory Body Budget" sheetId="1" r:id="rId1"/>
    <sheet name="Statutory Body HR" sheetId="2" r:id="rId2"/>
    <sheet name="Statutory Body KPI" sheetId="3" r:id="rId3"/>
  </sheets>
  <calcPr calcId="162913"/>
</workbook>
</file>

<file path=xl/calcChain.xml><?xml version="1.0" encoding="utf-8"?>
<calcChain xmlns="http://schemas.openxmlformats.org/spreadsheetml/2006/main">
  <c r="G41" i="1" l="1"/>
  <c r="E11" i="2" l="1"/>
  <c r="E15" i="2"/>
  <c r="F41" i="1" l="1"/>
  <c r="F37" i="1" l="1"/>
  <c r="B52" i="1" l="1"/>
  <c r="H51" i="1"/>
  <c r="G51" i="1"/>
  <c r="E51" i="1"/>
  <c r="H50" i="1"/>
  <c r="G50" i="1"/>
  <c r="E50" i="1"/>
  <c r="G49" i="1"/>
  <c r="H49" i="1" s="1"/>
  <c r="H48" i="1"/>
  <c r="G48" i="1"/>
  <c r="E48" i="1"/>
  <c r="H47" i="1"/>
  <c r="G47" i="1"/>
  <c r="G46" i="1"/>
  <c r="H46" i="1" s="1"/>
  <c r="E46" i="1"/>
  <c r="B46" i="1"/>
  <c r="G45" i="1"/>
  <c r="H45" i="1" s="1"/>
  <c r="E45" i="1"/>
  <c r="H44" i="1"/>
  <c r="G44" i="1"/>
  <c r="D44" i="1"/>
  <c r="C44" i="1"/>
  <c r="B44" i="1"/>
  <c r="G43" i="1"/>
  <c r="H43" i="1" s="1"/>
  <c r="E43" i="1"/>
  <c r="H42" i="1"/>
  <c r="G42" i="1"/>
  <c r="E42" i="1"/>
  <c r="H41" i="1"/>
  <c r="B41" i="1"/>
  <c r="G40" i="1"/>
  <c r="H40" i="1" s="1"/>
  <c r="H39" i="1"/>
  <c r="G39" i="1"/>
  <c r="E39" i="1"/>
  <c r="D39" i="1"/>
  <c r="C39" i="1"/>
  <c r="B39" i="1"/>
  <c r="G38" i="1"/>
  <c r="H38" i="1" s="1"/>
  <c r="F38" i="1"/>
  <c r="E38" i="1"/>
  <c r="D38" i="1"/>
  <c r="C38" i="1"/>
  <c r="G37" i="1"/>
  <c r="H37" i="1" s="1"/>
  <c r="E37" i="1"/>
  <c r="D37" i="1"/>
  <c r="C37" i="1"/>
  <c r="B37" i="1"/>
  <c r="H36" i="1"/>
  <c r="G36" i="1"/>
  <c r="F36" i="1"/>
  <c r="B36" i="1"/>
  <c r="H35" i="1"/>
  <c r="G35" i="1"/>
  <c r="G34" i="1"/>
  <c r="H34" i="1" s="1"/>
  <c r="E34" i="1"/>
  <c r="C34" i="1"/>
  <c r="B34" i="1"/>
  <c r="G33" i="1"/>
  <c r="H33" i="1" s="1"/>
  <c r="H32" i="1"/>
  <c r="G32" i="1"/>
  <c r="G31" i="1"/>
  <c r="H31" i="1" s="1"/>
  <c r="F30" i="1"/>
  <c r="G30" i="1" s="1"/>
  <c r="H30" i="1" s="1"/>
  <c r="E30" i="1"/>
  <c r="D30" i="1"/>
  <c r="C30" i="1"/>
  <c r="B30" i="1"/>
  <c r="H29" i="1"/>
  <c r="G29" i="1"/>
  <c r="F28" i="1"/>
  <c r="G28" i="1" s="1"/>
  <c r="H28" i="1" s="1"/>
  <c r="E28" i="1"/>
  <c r="D28" i="1"/>
  <c r="C28" i="1"/>
  <c r="C52" i="1" s="1"/>
  <c r="C53" i="1" s="1"/>
  <c r="H27" i="1"/>
  <c r="G27" i="1"/>
  <c r="E27" i="1"/>
  <c r="G26" i="1"/>
  <c r="H26" i="1" s="1"/>
  <c r="E26" i="1"/>
  <c r="E52" i="1" s="1"/>
  <c r="E53" i="1" s="1"/>
  <c r="D26" i="1"/>
  <c r="D52" i="1" s="1"/>
  <c r="D53" i="1" s="1"/>
  <c r="B26" i="1"/>
  <c r="G25" i="1"/>
  <c r="F23" i="1"/>
  <c r="E23" i="1"/>
  <c r="D23" i="1"/>
  <c r="C23" i="1"/>
  <c r="H21" i="1"/>
  <c r="G21" i="1"/>
  <c r="E21" i="1"/>
  <c r="G20" i="1"/>
  <c r="H20" i="1" s="1"/>
  <c r="E20" i="1"/>
  <c r="B20" i="1"/>
  <c r="G19" i="1"/>
  <c r="H19" i="1" s="1"/>
  <c r="E19" i="1"/>
  <c r="B19" i="1"/>
  <c r="G18" i="1"/>
  <c r="H18" i="1" s="1"/>
  <c r="E18" i="1"/>
  <c r="G17" i="1"/>
  <c r="G23" i="1" s="1"/>
  <c r="B17" i="1"/>
  <c r="B23" i="1" s="1"/>
  <c r="H13" i="1"/>
  <c r="G13" i="1"/>
  <c r="E13" i="1"/>
  <c r="C13" i="1"/>
  <c r="B13" i="1"/>
  <c r="G12" i="1"/>
  <c r="H12" i="1" s="1"/>
  <c r="G11" i="1"/>
  <c r="H11" i="1" s="1"/>
  <c r="F10" i="1"/>
  <c r="G10" i="1" s="1"/>
  <c r="E10" i="1"/>
  <c r="E15" i="1" s="1"/>
  <c r="E54" i="1" s="1"/>
  <c r="E56" i="1" s="1"/>
  <c r="D10" i="1"/>
  <c r="D15" i="1" s="1"/>
  <c r="D54" i="1" s="1"/>
  <c r="D56" i="1" s="1"/>
  <c r="C10" i="1"/>
  <c r="C15" i="1" s="1"/>
  <c r="C54" i="1" s="1"/>
  <c r="C56" i="1" s="1"/>
  <c r="B10" i="1"/>
  <c r="B15" i="1" s="1"/>
  <c r="H10" i="1" l="1"/>
  <c r="H15" i="1" s="1"/>
  <c r="G15" i="1"/>
  <c r="G52" i="1"/>
  <c r="G53" i="1" s="1"/>
  <c r="B53" i="1"/>
  <c r="B54" i="1" s="1"/>
  <c r="B56" i="1" s="1"/>
  <c r="F15" i="1"/>
  <c r="H25" i="1"/>
  <c r="H52" i="1" s="1"/>
  <c r="F52" i="1"/>
  <c r="F53" i="1" s="1"/>
  <c r="H17" i="1"/>
  <c r="H23" i="1" s="1"/>
  <c r="E30" i="2"/>
  <c r="E23" i="2"/>
  <c r="E22" i="2"/>
  <c r="E19" i="2"/>
  <c r="E18" i="2"/>
  <c r="E17" i="2"/>
  <c r="E16" i="2"/>
  <c r="E20" i="2"/>
  <c r="E9" i="2"/>
  <c r="E10" i="2"/>
  <c r="H53" i="1" l="1"/>
  <c r="H54" i="1" s="1"/>
  <c r="H56" i="1" s="1"/>
  <c r="G54" i="1"/>
  <c r="G56" i="1" s="1"/>
  <c r="F54" i="1"/>
  <c r="F56" i="1" s="1"/>
  <c r="G13" i="3"/>
  <c r="H13" i="3"/>
  <c r="I13" i="3"/>
  <c r="J13" i="3"/>
  <c r="K13" i="3"/>
  <c r="L13" i="3"/>
  <c r="F13" i="3"/>
  <c r="L20" i="3"/>
  <c r="K20" i="3"/>
  <c r="J20" i="3"/>
  <c r="I20" i="3"/>
  <c r="H20" i="3"/>
  <c r="G20" i="3"/>
  <c r="F20" i="3"/>
  <c r="B34" i="2"/>
  <c r="G32" i="2"/>
  <c r="F32" i="2"/>
  <c r="E32" i="2"/>
  <c r="D32" i="2"/>
  <c r="G28" i="2"/>
  <c r="F28" i="2"/>
  <c r="E28" i="2"/>
  <c r="D28" i="2"/>
  <c r="K12" i="3"/>
  <c r="G12" i="3" l="1"/>
  <c r="G14" i="3" s="1"/>
  <c r="K14" i="3"/>
  <c r="F34" i="2"/>
  <c r="G34" i="2"/>
  <c r="E34" i="2"/>
  <c r="D34" i="2"/>
  <c r="F12" i="3"/>
  <c r="F14" i="3" s="1"/>
  <c r="J12" i="3"/>
  <c r="J14" i="3" s="1"/>
  <c r="I12" i="3" l="1"/>
  <c r="I14" i="3" s="1"/>
  <c r="H12" i="3"/>
  <c r="H14" i="3" s="1"/>
  <c r="L12" i="3"/>
  <c r="L14" i="3" s="1"/>
</calcChain>
</file>

<file path=xl/sharedStrings.xml><?xml version="1.0" encoding="utf-8"?>
<sst xmlns="http://schemas.openxmlformats.org/spreadsheetml/2006/main" count="233" uniqueCount="225">
  <si>
    <t xml:space="preserve">STATUTORY BODY INCOME AND EXPENDITURE DETAILED SHEET </t>
  </si>
  <si>
    <t>Unaudited Actuals</t>
  </si>
  <si>
    <t xml:space="preserve">Revised Budget </t>
  </si>
  <si>
    <t>Forecast Outturn</t>
  </si>
  <si>
    <t xml:space="preserve">Estimate </t>
  </si>
  <si>
    <t>Forward Estimate</t>
  </si>
  <si>
    <t>Description</t>
  </si>
  <si>
    <t xml:space="preserve">Outturn </t>
  </si>
  <si>
    <t>Interest Income</t>
  </si>
  <si>
    <t>Release of Government Grants</t>
  </si>
  <si>
    <t xml:space="preserve">TOTAL INCOME </t>
  </si>
  <si>
    <t>Salaries</t>
  </si>
  <si>
    <t>Wages</t>
  </si>
  <si>
    <t>Allowances</t>
  </si>
  <si>
    <t>Pension and Gratuities</t>
  </si>
  <si>
    <t>Employment Costs</t>
  </si>
  <si>
    <t>Local Travel and Subsistence</t>
  </si>
  <si>
    <t>International Travel and Subsistence</t>
  </si>
  <si>
    <t>Utilities</t>
  </si>
  <si>
    <t>Communications Expenses</t>
  </si>
  <si>
    <t>Office Expenses</t>
  </si>
  <si>
    <t>Rental of Assets</t>
  </si>
  <si>
    <t>Maintenance Expenses</t>
  </si>
  <si>
    <t>Subscriptions, Periodicals, Books, etc.</t>
  </si>
  <si>
    <t>Other Supplies, Materials and Equipment</t>
  </si>
  <si>
    <t>Uniforms &amp; Protective Clothing</t>
  </si>
  <si>
    <t>Professional and Consultancy Services</t>
  </si>
  <si>
    <t>Computer License Software and Hardware Maintenance</t>
  </si>
  <si>
    <t>Insurance</t>
  </si>
  <si>
    <t>Hosting and Entertainment</t>
  </si>
  <si>
    <t>Training</t>
  </si>
  <si>
    <t>Advertising and Promotions</t>
  </si>
  <si>
    <t>Auditing and Accounting</t>
  </si>
  <si>
    <t>Depreciation and Amortization</t>
  </si>
  <si>
    <t>Bank Charges</t>
  </si>
  <si>
    <t>Other Operating Expenses</t>
  </si>
  <si>
    <t>Operating Costs</t>
  </si>
  <si>
    <t>Total Expenditure</t>
  </si>
  <si>
    <t>Operating Deficit/Surplus before Capital Projects</t>
  </si>
  <si>
    <t>Capital Projects</t>
  </si>
  <si>
    <t>Operating Deficit /Surplus after Capital Projects</t>
  </si>
  <si>
    <t>GOVERNMENT OF THE ANGUILLA</t>
  </si>
  <si>
    <t>Fees and Charges</t>
  </si>
  <si>
    <t>Subvention from GOA</t>
  </si>
  <si>
    <t>2020</t>
  </si>
  <si>
    <t>Social Security Contributions</t>
  </si>
  <si>
    <t>Interim Stabilization Levy</t>
  </si>
  <si>
    <t xml:space="preserve">Human </t>
  </si>
  <si>
    <t>Payroll Cost</t>
  </si>
  <si>
    <t>Resources</t>
  </si>
  <si>
    <t>Estimate</t>
  </si>
  <si>
    <t>Salary Staff</t>
  </si>
  <si>
    <t>Waged Staff</t>
  </si>
  <si>
    <t>GOVERNMENT OF ANGUILLA</t>
  </si>
  <si>
    <t>STATUTORY BODY SUMMARY</t>
  </si>
  <si>
    <t>MISSION:</t>
  </si>
  <si>
    <t>STRATEGIC PRIORITIES:</t>
  </si>
  <si>
    <t>Programme/Department</t>
  </si>
  <si>
    <t>Operating Expenditure</t>
  </si>
  <si>
    <t xml:space="preserve">Capital Expenditure </t>
  </si>
  <si>
    <t>TOTAL AGENCY BUDGET CEILING</t>
  </si>
  <si>
    <t>STATUTORY BODY STAFFING RESOURCES – Actual Number of Staff by Category</t>
  </si>
  <si>
    <t>Executive/Managerial</t>
  </si>
  <si>
    <t>Technical/Front Line Services</t>
  </si>
  <si>
    <t>Administrative Support</t>
  </si>
  <si>
    <t>Wages Staff</t>
  </si>
  <si>
    <t xml:space="preserve">TOTAL AGENCY STAFFING </t>
  </si>
  <si>
    <t>PROGRAMME PERFORMANCE INFORMATION</t>
  </si>
  <si>
    <t>KEY PERFORMANCE INDICATORS</t>
  </si>
  <si>
    <t xml:space="preserve">Output Indicators (the quantity of output or services delivered by the programme) </t>
  </si>
  <si>
    <t>Outcome Indicators (the planned or achieved outcomes or impacts of the programme and/or effectiveness in achieving programme objectives)</t>
  </si>
  <si>
    <t xml:space="preserve"> EXPENDITURE - BY PROGRAMME</t>
  </si>
  <si>
    <t>2020 Approved Budget</t>
  </si>
  <si>
    <t xml:space="preserve">2020 Revised Budget </t>
  </si>
  <si>
    <t>2020 Forecast Outturn</t>
  </si>
  <si>
    <t>2021 Budget Estimates</t>
  </si>
  <si>
    <t>2022 Forward Estimates</t>
  </si>
  <si>
    <t>2023 Forward Estimates</t>
  </si>
  <si>
    <t>KEY PROGRAMME STRATEGIES 2021 (Aimed at improving programme performance)</t>
  </si>
  <si>
    <t>2019 Actual</t>
  </si>
  <si>
    <t>2020 Planned</t>
  </si>
  <si>
    <t>2020 Revised</t>
  </si>
  <si>
    <t>2020 Outturn</t>
  </si>
  <si>
    <t>2021 Estimate</t>
  </si>
  <si>
    <t>2022 Estimate</t>
  </si>
  <si>
    <t>2023 Estimate</t>
  </si>
  <si>
    <t>Programme and Performance Indicators for 2021</t>
  </si>
  <si>
    <t>KEY PROGRAMME STRATEGIES FOR 2021</t>
  </si>
  <si>
    <t>ACHIEVEMENTS/PROGRESS IN 2020</t>
  </si>
  <si>
    <t>Estimate of Human Resources for 2021</t>
  </si>
  <si>
    <t>2021</t>
  </si>
  <si>
    <t>Grade</t>
  </si>
  <si>
    <t>Sponsorships and Contributions</t>
  </si>
  <si>
    <t>The Anguilla Tourist Board</t>
  </si>
  <si>
    <t>Manager Corporate Affairs</t>
  </si>
  <si>
    <t>Manager Destination Experience</t>
  </si>
  <si>
    <t>Coordinator of International Markets</t>
  </si>
  <si>
    <t>Accountant</t>
  </si>
  <si>
    <t>Accounts Officer</t>
  </si>
  <si>
    <t>Office Manager</t>
  </si>
  <si>
    <t>Tourism Assistant</t>
  </si>
  <si>
    <t>Receptionist</t>
  </si>
  <si>
    <t>Cleaner</t>
  </si>
  <si>
    <t>Port assistant</t>
  </si>
  <si>
    <t>Overseas Marketing</t>
  </si>
  <si>
    <t>Access development</t>
  </si>
  <si>
    <t>Destination Enhancement Projects</t>
  </si>
  <si>
    <t>Online Promotions</t>
  </si>
  <si>
    <t>OverseasAdmin costs</t>
  </si>
  <si>
    <t>Industry Specific Costs:</t>
  </si>
  <si>
    <t>Chief Marketing Officer</t>
  </si>
  <si>
    <t>Director</t>
  </si>
  <si>
    <t>Data &amp; Market Intelligence Officer</t>
  </si>
  <si>
    <t>Taxi Dispatchers (4)</t>
  </si>
  <si>
    <t>Taxi Dispatcher Supervisor (1)</t>
  </si>
  <si>
    <t>Board Fees</t>
  </si>
  <si>
    <t xml:space="preserve">·         To develop a strong digital marketing strategy to ensure a strong competitive brand in the marketplace. </t>
  </si>
  <si>
    <t>·         To develop and maintain a modern and practical destination website.</t>
  </si>
  <si>
    <t>·         To support the initiatives of the international media through the provision of PR content, dynamic imagery and videography to raise the profile of the destination.</t>
  </si>
  <si>
    <t>·         To create awareness of the destination through marketing, partnerships, travel trade programmes/Co-op Marketing (Digital, Social, print, television &amp; general broadcast)</t>
  </si>
  <si>
    <t>·         To establish and maintain working relationships with all stakeholders (public &amp; private sector partners as well as advertising, public relations and promotion agencies locally, regionally and internationally).</t>
  </si>
  <si>
    <t>·         To represent Anguilla at in-market events &amp; shows (Roadshows, trade and Consumer shows, dinner presentations, seminars and exhibitions)</t>
  </si>
  <si>
    <t xml:space="preserve">·         To coordinate and execute direct sales initiatives to the Travel Trade and consumers. </t>
  </si>
  <si>
    <t>·      To enhance the elements of the visitor experience (accommodations, transportation, entertainment, restaurants, and activities) to adequately reflect our positioning / brand as a luxury destination.</t>
  </si>
  <si>
    <t xml:space="preserve">·        To focus on quality control and benchmarking, by training and developing  minimum regulatory industry standards and guidelines for all tourism related stakeholders.  </t>
  </si>
  <si>
    <t>·        To create programmes to encourage new tourism business development and existing business enhancement (upgrades).</t>
  </si>
  <si>
    <t>·        To work with local stakeholders to develop, package &amp; market authentic Anguillian experiences.</t>
  </si>
  <si>
    <t>·         To use our experience mapping tools to develop strategies and recommendations to strengthen our guests' on island experience.</t>
  </si>
  <si>
    <t>·         To use communication tools to measure guest satisfaction.</t>
  </si>
  <si>
    <t xml:space="preserve">·         To support local activities and projects that contribute to authentic local experiences. </t>
  </si>
  <si>
    <t>·        To promote and maintain an awareness of tourism and its importance to Anguilla's economy.</t>
  </si>
  <si>
    <t>·        To work with different ministries to develop tourism related policies to enhance the tourism product offerings, tourism related revenue collection and compliance, minimum industry standards. ensuring that our on island experiences are consistent with the ATB's Marketing initiatives.</t>
  </si>
  <si>
    <t>·        Increase awareness of the Anguilla Tourist Board and its services using an intergrated PR strategy (social media, print, radio &amp; events)</t>
  </si>
  <si>
    <t>·         To create and support local marketing activities that will help to raise the profile of the Anguilla Tourist Board.</t>
  </si>
  <si>
    <t>·        To enhance the capacity of the ATB to adequately execute its mandate.</t>
  </si>
  <si>
    <t>·        To support access development- direct &amp; through major hubs.</t>
  </si>
  <si>
    <t>·        To conduct a needs assessment survey for the entire tourism industry.</t>
  </si>
  <si>
    <t>·         Percentage of policy recommendations adopted and implemented from the ATB</t>
  </si>
  <si>
    <t>·         Percentage increase of partners receiving tourism training Programs</t>
  </si>
  <si>
    <t>·         Percentage increase in businesses participating in Tourism Training Programs</t>
  </si>
  <si>
    <t>·         Number of people trained in customer service</t>
  </si>
  <si>
    <t>·         Number of new tourism business start-ups by local residents</t>
  </si>
  <si>
    <t>·         Number of Festivals celebrating Anguilla’s Cultural Heritage</t>
  </si>
  <si>
    <t xml:space="preserve">·         Development of a 3 - 5 year strategic management plan </t>
  </si>
  <si>
    <t>·         Number of publications on Tourism Matters</t>
  </si>
  <si>
    <t>·         Number of new platforms launched to increase the profile of the ATB</t>
  </si>
  <si>
    <t>·         Number of existing polices reviewed</t>
  </si>
  <si>
    <t>·         Number of new polices recommended</t>
  </si>
  <si>
    <t>Website</t>
  </si>
  <si>
    <t>·         Review Sessions - Daily review and updates to ensure all information is accurate and updated</t>
  </si>
  <si>
    <t>·         Conference sessions - Weekly conference with webmaster on workings of the website</t>
  </si>
  <si>
    <t>·         Number of Engagements - Liaise with stakeholders to encourage regular updated information</t>
  </si>
  <si>
    <t>Digital</t>
  </si>
  <si>
    <t xml:space="preserve">·         Number of Creatives - Create bold and dynamic digital advertising creatives that will inspire and attract tourists to Anguilla </t>
  </si>
  <si>
    <t>·         Number of sessions - Procure Digital imagery for destination promotion and awareness</t>
  </si>
  <si>
    <t>·         Number of sessions - Develop digital advertising and inspiring content for social media to promote Anguilla</t>
  </si>
  <si>
    <t>·         Number of activities - Create local marketing initiatives to raise the awareness of Anguilla and how it is being positioned internationally</t>
  </si>
  <si>
    <t>International PR</t>
  </si>
  <si>
    <t>·         Number of publications - Create and disseminate prolific publications to the most influential and targeted media, travel trade and consumer channels to raise the profile of Anguilla's tourism product</t>
  </si>
  <si>
    <t>·         Number of sessions - Execute strategies for building and maintaining relationships with the travel trade market segments</t>
  </si>
  <si>
    <t>·         Number of Fams - Media: Will be to include a first-hand account of the Anguilla experience on island in the form of editorial coverage in major magazines; consumer-travel publications; with corresponding online coverage and social media platform postings</t>
  </si>
  <si>
    <t>·         Number of sessions - Manage the image of Anguilla as a destination to ensure a dynamic and diverse picture is delivered on the Anguilla Experience to the media, travel trade and wider tourism industry</t>
  </si>
  <si>
    <t>Trade/Consumer &amp; Roadshows</t>
  </si>
  <si>
    <t>·         Number of sessions per year - Represent Anguilla at various trade and consumer shows and exhibitions to increase the awareness of Anguilla's tourism</t>
  </si>
  <si>
    <t>·         Number of Activities - Participate in niche market trade and consumer shows designed to raise the destination's product offerings.</t>
  </si>
  <si>
    <t>Sales, Seminars &amp; Training Presentations</t>
  </si>
  <si>
    <t>·         Number of sessions per year - Coordinate and execute direct sales activities to the travel trade industry (US, Canada, UK &amp; Scandinavia, Germany, Italy, South America)</t>
  </si>
  <si>
    <t>·         Number of training seminars - Develop training programmes for in-market stakeholders that provide opportunities for increased standards and sales collaboration with online travel agencies.</t>
  </si>
  <si>
    <t>·         Number of reviews - Maintain the integrity of the content and information supplied in the sales presentations to the travel trade.</t>
  </si>
  <si>
    <t>Relationship Building</t>
  </si>
  <si>
    <t>·         Number of meetings - Execute industry meetings to maintain and support the relationship between the ATB and stakeholders.</t>
  </si>
  <si>
    <t>·         Number of meetings - Development of new international opportunities with industry stakeholders.</t>
  </si>
  <si>
    <t>·         Number of meetings - Maintain local working relationships between the various private/public sector partners and the ATB.</t>
  </si>
  <si>
    <t>Familiarization Visits</t>
  </si>
  <si>
    <t>·         Number of Fams - Travel Trade: is to increase awareness of Anguilla as an elite destination, highlighting the island as place for the travelers of various niche markets.</t>
  </si>
  <si>
    <t>Tourism Awareness Projects</t>
  </si>
  <si>
    <t>·         Number of school tourism awareness projects / Campaigns</t>
  </si>
  <si>
    <t>·         Number of activities for school year</t>
  </si>
  <si>
    <t>·         Number of tourism action clubs</t>
  </si>
  <si>
    <t>·         Number of meetings days per month</t>
  </si>
  <si>
    <t>·         Number of tourism competitions</t>
  </si>
  <si>
    <t>·         Number of young people attending conference</t>
  </si>
  <si>
    <t xml:space="preserve">Research </t>
  </si>
  <si>
    <t>·         Number of data collection initiatives</t>
  </si>
  <si>
    <t xml:space="preserve">·         On going data analysis </t>
  </si>
  <si>
    <t>Industry Based Training</t>
  </si>
  <si>
    <t>·         Number of Sessions; Accommodations</t>
  </si>
  <si>
    <t>·         Number of Sessions; Attractions</t>
  </si>
  <si>
    <t>·         Number of Sessions; Restaurants</t>
  </si>
  <si>
    <t>·         Number of Sessions; Activities</t>
  </si>
  <si>
    <t>·         Number of Sessions; Tourist Guides</t>
  </si>
  <si>
    <t>·         Number of Sessions; Transportation</t>
  </si>
  <si>
    <t>·         Number of Sessions; Retail</t>
  </si>
  <si>
    <t xml:space="preserve">·        Number of Sessions: Government Departments </t>
  </si>
  <si>
    <t>·         Number of people targeted per session</t>
  </si>
  <si>
    <t xml:space="preserve">Events and Festivals </t>
  </si>
  <si>
    <t>·         Number of Festivals (receiving technical and financial support)</t>
  </si>
  <si>
    <t xml:space="preserve">Local Events and Festivals </t>
  </si>
  <si>
    <t>·         Number of Events (receiving technical and financial support)</t>
  </si>
  <si>
    <t>Enhancement Projects - Eco Tourism</t>
  </si>
  <si>
    <t>·         Number of Boat Mooring Projects</t>
  </si>
  <si>
    <t>·         Number of Terrestrial Animal Projects</t>
  </si>
  <si>
    <t>·         Number of Natural and Eco Historical Site Projects</t>
  </si>
  <si>
    <t>·         Number of Training Courses / Seminars</t>
  </si>
  <si>
    <t>Enhancement Projects - Sports Tourism</t>
  </si>
  <si>
    <t>·         Number of Tourism Related Sports Events</t>
  </si>
  <si>
    <t>Enhancement Projects - On island Promotions</t>
  </si>
  <si>
    <t>·         Number of Off Shore Cays</t>
  </si>
  <si>
    <t>Enhancement Projects - Historical &amp; Preservation</t>
  </si>
  <si>
    <t>·         Number of projects launched</t>
  </si>
  <si>
    <t xml:space="preserve">·         Number of participating partners </t>
  </si>
  <si>
    <t>Policy Development</t>
  </si>
  <si>
    <t>·         Review of tourism related policies and legislation</t>
  </si>
  <si>
    <t>·         Development and introduction of new policy recommendations</t>
  </si>
  <si>
    <t>ATB Training</t>
  </si>
  <si>
    <t>·         Number of personal development sessions</t>
  </si>
  <si>
    <t>·         Number of specialised training courses</t>
  </si>
  <si>
    <t>·         Number of overseas attachments</t>
  </si>
  <si>
    <t xml:space="preserve">To provide leadership in the development and marketing of Anguilla as the Caribbean’s premiere tourism destination. To offer a dynamic variety of vacation experiences that exceed the needs of diverse visitors.
</t>
  </si>
  <si>
    <t>Anguilla Tourist Board</t>
  </si>
  <si>
    <t>Marketing Anguilla</t>
  </si>
  <si>
    <t xml:space="preserve">Unapproved Budget </t>
  </si>
  <si>
    <t>-</t>
  </si>
  <si>
    <t>Assistant Manager Destination Experience</t>
  </si>
  <si>
    <t>Anguilla Tourist Board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</si>
</sst>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0_);_(* \(#,##0\);_(* &quot;-&quot;_);_(@_)"/>
    <numFmt numFmtId="165" formatCode="_(&quot;$&quot;* #,##0.00_);_(&quot;$&quot;* \(#,##0.00\);_(&quot;$&quot;* &quot;-&quot;??_);_(@_)"/>
    <numFmt numFmtId="166" formatCode="_(* #,##0.00_);_(* \(#,##0.00\);_(* &quot;-&quot;??_);_(@_)"/>
    <numFmt numFmtId="167" formatCode="_(* #,##0_);_(* \(#,##0\);_(* &quot;-&quot;??_);_(@_)"/>
    <numFmt numFmtId="168" formatCode="_(* #,##0.0_);_(* \(#,##0.0\);_(* &quot;-&quot;?_);_(@_)"/>
    <numFmt numFmtId="169" formatCode="_(&quot;$&quot;* #,##0_);_(&quot;$&quot;* \(#,##0\);_(&quot;$&quot;* &quot;-&quot;??_);_(@_)"/>
  </numFmts>
  <fonts count="12" x14ac:knownFonts="1">
    <font>
      <sz val="11"/>
      <color theme="1"/>
      <name val="Calibri"/>
      <family val="2"/>
      <scheme val="minor"/>
    </font>
    <font>
      <sz val="11"/>
      <color theme="1"/>
      <name val="Calibri"/>
      <family val="2"/>
      <scheme val="minor"/>
    </font>
    <font>
      <b/>
      <sz val="11"/>
      <color theme="1"/>
      <name val="Calibri"/>
      <family val="2"/>
      <scheme val="minor"/>
    </font>
    <font>
      <b/>
      <sz val="12"/>
      <name val="Arial"/>
      <family val="2"/>
    </font>
    <font>
      <sz val="10"/>
      <name val="Arial"/>
      <family val="2"/>
    </font>
    <font>
      <b/>
      <sz val="12"/>
      <color theme="1"/>
      <name val="Arial"/>
      <family val="2"/>
    </font>
    <font>
      <sz val="12"/>
      <name val="Arial"/>
      <family val="2"/>
    </font>
    <font>
      <sz val="10"/>
      <color rgb="FFFF0000"/>
      <name val="Arial"/>
      <family val="2"/>
    </font>
    <font>
      <sz val="12"/>
      <color rgb="FFFF0000"/>
      <name val="Arial"/>
      <family val="2"/>
    </font>
    <font>
      <b/>
      <sz val="10"/>
      <name val="Arial"/>
      <family val="2"/>
    </font>
    <font>
      <b/>
      <i/>
      <sz val="11"/>
      <color theme="1"/>
      <name val="Arial"/>
      <family val="2"/>
    </font>
    <font>
      <b/>
      <i/>
      <sz val="12"/>
      <name val="Arial"/>
      <family val="2"/>
    </font>
  </fonts>
  <fills count="9">
    <fill>
      <patternFill patternType="none"/>
    </fill>
    <fill>
      <patternFill patternType="gray125"/>
    </fill>
    <fill>
      <patternFill patternType="solid">
        <fgColor theme="0" tint="-0.249977111117893"/>
        <bgColor indexed="64"/>
      </patternFill>
    </fill>
    <fill>
      <patternFill patternType="solid">
        <fgColor rgb="FFBFBFB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0" tint="-0.499984740745262"/>
        <bgColor indexed="64"/>
      </patternFill>
    </fill>
    <fill>
      <patternFill patternType="solid">
        <fgColor theme="0"/>
        <bgColor indexed="64"/>
      </patternFill>
    </fill>
  </fills>
  <borders count="57">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auto="1"/>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thin">
        <color auto="1"/>
      </top>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top style="thin">
        <color auto="1"/>
      </top>
      <bottom style="thin">
        <color auto="1"/>
      </bottom>
      <diagonal/>
    </border>
    <border>
      <left/>
      <right style="medium">
        <color indexed="64"/>
      </right>
      <top style="thin">
        <color indexed="64"/>
      </top>
      <bottom style="thin">
        <color indexed="64"/>
      </bottom>
      <diagonal/>
    </border>
    <border>
      <left style="medium">
        <color indexed="64"/>
      </left>
      <right/>
      <top style="thin">
        <color auto="1"/>
      </top>
      <bottom/>
      <diagonal/>
    </border>
    <border>
      <left/>
      <right/>
      <top style="thin">
        <color auto="1"/>
      </top>
      <bottom/>
      <diagonal/>
    </border>
    <border>
      <left/>
      <right style="medium">
        <color indexed="64"/>
      </right>
      <top style="thin">
        <color auto="1"/>
      </top>
      <bottom/>
      <diagonal/>
    </border>
    <border>
      <left style="medium">
        <color indexed="64"/>
      </left>
      <right/>
      <top/>
      <bottom style="thin">
        <color auto="1"/>
      </bottom>
      <diagonal/>
    </border>
    <border>
      <left/>
      <right/>
      <top/>
      <bottom style="thin">
        <color auto="1"/>
      </bottom>
      <diagonal/>
    </border>
    <border>
      <left/>
      <right style="medium">
        <color indexed="64"/>
      </right>
      <top/>
      <bottom style="thin">
        <color auto="1"/>
      </bottom>
      <diagonal/>
    </border>
    <border>
      <left style="thin">
        <color auto="1"/>
      </left>
      <right/>
      <top style="thin">
        <color auto="1"/>
      </top>
      <bottom/>
      <diagonal/>
    </border>
    <border>
      <left/>
      <right style="thin">
        <color auto="1"/>
      </right>
      <top/>
      <bottom style="thin">
        <color auto="1"/>
      </bottom>
      <diagonal/>
    </border>
    <border>
      <left style="thin">
        <color auto="1"/>
      </left>
      <right/>
      <top/>
      <bottom style="thin">
        <color auto="1"/>
      </bottom>
      <diagonal/>
    </border>
    <border>
      <left style="medium">
        <color indexed="64"/>
      </left>
      <right/>
      <top/>
      <bottom style="medium">
        <color indexed="64"/>
      </bottom>
      <diagonal/>
    </border>
    <border>
      <left/>
      <right/>
      <top/>
      <bottom style="medium">
        <color indexed="64"/>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s>
  <cellStyleXfs count="10">
    <xf numFmtId="0" fontId="0" fillId="0" borderId="0"/>
    <xf numFmtId="166" fontId="1" fillId="0" borderId="0" applyFont="0" applyFill="0" applyBorder="0" applyAlignment="0" applyProtection="0"/>
    <xf numFmtId="165" fontId="1" fillId="0" borderId="0" applyFont="0" applyFill="0" applyBorder="0" applyAlignment="0" applyProtection="0"/>
    <xf numFmtId="0" fontId="4" fillId="0" borderId="0"/>
    <xf numFmtId="0" fontId="4" fillId="0" borderId="0"/>
    <xf numFmtId="0" fontId="4" fillId="0" borderId="0"/>
    <xf numFmtId="0" fontId="4" fillId="0" borderId="0"/>
    <xf numFmtId="166" fontId="4" fillId="0" borderId="0" applyFont="0" applyFill="0" applyBorder="0" applyAlignment="0" applyProtection="0"/>
    <xf numFmtId="0" fontId="1" fillId="0" borderId="0"/>
    <xf numFmtId="0" fontId="4" fillId="0" borderId="0"/>
  </cellStyleXfs>
  <cellXfs count="219">
    <xf numFmtId="0" fontId="0" fillId="0" borderId="0" xfId="0"/>
    <xf numFmtId="0" fontId="3" fillId="0" borderId="0" xfId="0" quotePrefix="1" applyFont="1" applyBorder="1" applyAlignment="1"/>
    <xf numFmtId="0" fontId="4" fillId="0" borderId="0" xfId="3"/>
    <xf numFmtId="0" fontId="6" fillId="0" borderId="13" xfId="4" applyFont="1" applyBorder="1"/>
    <xf numFmtId="167" fontId="6" fillId="0" borderId="14" xfId="1" applyNumberFormat="1" applyFont="1" applyFill="1" applyBorder="1" applyProtection="1"/>
    <xf numFmtId="167" fontId="6" fillId="0" borderId="9" xfId="1" applyNumberFormat="1" applyFont="1" applyFill="1" applyBorder="1" applyProtection="1"/>
    <xf numFmtId="0" fontId="6" fillId="0" borderId="13" xfId="5" applyFont="1" applyBorder="1"/>
    <xf numFmtId="0" fontId="7" fillId="0" borderId="0" xfId="3" applyFont="1"/>
    <xf numFmtId="0" fontId="6" fillId="0" borderId="13" xfId="5" applyFont="1" applyBorder="1" applyAlignment="1" applyProtection="1">
      <alignment wrapText="1"/>
    </xf>
    <xf numFmtId="0" fontId="8" fillId="0" borderId="13" xfId="4" applyFont="1" applyBorder="1" applyAlignment="1" applyProtection="1">
      <alignment wrapText="1"/>
    </xf>
    <xf numFmtId="167" fontId="8" fillId="0" borderId="14" xfId="1" applyNumberFormat="1" applyFont="1" applyFill="1" applyBorder="1" applyProtection="1"/>
    <xf numFmtId="167" fontId="8" fillId="0" borderId="9" xfId="1" applyNumberFormat="1" applyFont="1" applyFill="1" applyBorder="1" applyProtection="1"/>
    <xf numFmtId="0" fontId="6" fillId="0" borderId="13" xfId="4" applyFont="1" applyBorder="1" applyAlignment="1" applyProtection="1">
      <alignment wrapText="1"/>
    </xf>
    <xf numFmtId="167" fontId="3" fillId="2" borderId="16" xfId="1" applyNumberFormat="1" applyFont="1" applyFill="1" applyBorder="1" applyProtection="1"/>
    <xf numFmtId="167" fontId="3" fillId="2" borderId="18" xfId="1" applyNumberFormat="1" applyFont="1" applyFill="1" applyBorder="1" applyProtection="1"/>
    <xf numFmtId="167" fontId="4" fillId="0" borderId="0" xfId="1" applyNumberFormat="1" applyFont="1"/>
    <xf numFmtId="167" fontId="3" fillId="0" borderId="22" xfId="1" applyNumberFormat="1" applyFont="1" applyFill="1" applyBorder="1" applyAlignment="1" applyProtection="1">
      <alignment wrapText="1"/>
    </xf>
    <xf numFmtId="167" fontId="3" fillId="0" borderId="16" xfId="1" applyNumberFormat="1" applyFont="1" applyFill="1" applyBorder="1" applyProtection="1"/>
    <xf numFmtId="167" fontId="3" fillId="0" borderId="18" xfId="1" applyNumberFormat="1" applyFont="1" applyFill="1" applyBorder="1" applyProtection="1"/>
    <xf numFmtId="0" fontId="6" fillId="0" borderId="0" xfId="0" quotePrefix="1" applyFont="1" applyBorder="1" applyAlignment="1">
      <alignment horizontal="center"/>
    </xf>
    <xf numFmtId="0" fontId="9" fillId="2" borderId="1" xfId="6" quotePrefix="1" applyFont="1" applyFill="1" applyBorder="1" applyAlignment="1">
      <alignment horizontal="left" vertical="center"/>
    </xf>
    <xf numFmtId="0" fontId="9" fillId="2" borderId="23" xfId="6" applyFont="1" applyFill="1" applyBorder="1" applyAlignment="1">
      <alignment vertical="center"/>
    </xf>
    <xf numFmtId="0" fontId="9" fillId="2" borderId="7" xfId="6" quotePrefix="1" applyFont="1" applyFill="1" applyBorder="1" applyAlignment="1">
      <alignment horizontal="left" vertical="center"/>
    </xf>
    <xf numFmtId="0" fontId="9" fillId="3" borderId="14" xfId="6" applyFont="1" applyFill="1" applyBorder="1" applyAlignment="1">
      <alignment vertical="center"/>
    </xf>
    <xf numFmtId="164" fontId="9" fillId="3" borderId="8" xfId="6" applyNumberFormat="1" applyFont="1" applyFill="1" applyBorder="1" applyAlignment="1">
      <alignment horizontal="center"/>
    </xf>
    <xf numFmtId="164" fontId="9" fillId="3" borderId="24" xfId="6" applyNumberFormat="1" applyFont="1" applyFill="1" applyBorder="1" applyAlignment="1">
      <alignment horizontal="center"/>
    </xf>
    <xf numFmtId="0" fontId="9" fillId="2" borderId="10" xfId="6" applyFont="1" applyFill="1" applyBorder="1" applyAlignment="1">
      <alignment horizontal="left" vertical="center"/>
    </xf>
    <xf numFmtId="0" fontId="9" fillId="2" borderId="11" xfId="6" applyFont="1" applyFill="1" applyBorder="1" applyAlignment="1">
      <alignment vertical="center"/>
    </xf>
    <xf numFmtId="164" fontId="9" fillId="3" borderId="11" xfId="6" applyNumberFormat="1" applyFont="1" applyFill="1" applyBorder="1" applyAlignment="1">
      <alignment horizontal="center"/>
    </xf>
    <xf numFmtId="164" fontId="9" fillId="3" borderId="25" xfId="6" applyNumberFormat="1" applyFont="1" applyFill="1" applyBorder="1" applyAlignment="1">
      <alignment horizontal="center"/>
    </xf>
    <xf numFmtId="0" fontId="4" fillId="0" borderId="7" xfId="6" applyFont="1" applyFill="1" applyBorder="1" applyAlignment="1">
      <alignment horizontal="left"/>
    </xf>
    <xf numFmtId="0" fontId="4" fillId="0" borderId="14" xfId="6" applyNumberFormat="1" applyFont="1" applyFill="1" applyBorder="1" applyAlignment="1">
      <alignment horizontal="center"/>
    </xf>
    <xf numFmtId="167" fontId="4" fillId="0" borderId="26" xfId="7" applyNumberFormat="1" applyFont="1" applyFill="1" applyBorder="1"/>
    <xf numFmtId="0" fontId="0" fillId="0" borderId="0" xfId="0" applyBorder="1"/>
    <xf numFmtId="168" fontId="0" fillId="0" borderId="0" xfId="0" applyNumberFormat="1"/>
    <xf numFmtId="0" fontId="4" fillId="0" borderId="14" xfId="8" applyFont="1" applyBorder="1" applyAlignment="1">
      <alignment horizontal="center"/>
    </xf>
    <xf numFmtId="167" fontId="4" fillId="0" borderId="26" xfId="7" applyNumberFormat="1" applyFont="1" applyBorder="1"/>
    <xf numFmtId="0" fontId="4" fillId="0" borderId="14" xfId="8" applyFont="1" applyFill="1" applyBorder="1" applyAlignment="1">
      <alignment horizontal="center"/>
    </xf>
    <xf numFmtId="167" fontId="4" fillId="0" borderId="26" xfId="7" applyNumberFormat="1" applyFont="1" applyFill="1" applyBorder="1" applyAlignment="1">
      <alignment horizontal="right"/>
    </xf>
    <xf numFmtId="0" fontId="9" fillId="4" borderId="27" xfId="6" applyFont="1" applyFill="1" applyBorder="1" applyAlignment="1">
      <alignment horizontal="left" vertical="center"/>
    </xf>
    <xf numFmtId="0" fontId="9" fillId="4" borderId="20" xfId="6" applyNumberFormat="1" applyFont="1" applyFill="1" applyBorder="1" applyAlignment="1">
      <alignment horizontal="center" vertical="center"/>
    </xf>
    <xf numFmtId="167" fontId="9" fillId="4" borderId="21" xfId="7" applyNumberFormat="1" applyFont="1" applyFill="1" applyBorder="1" applyAlignment="1">
      <alignment horizontal="right" vertical="center"/>
    </xf>
    <xf numFmtId="0" fontId="9" fillId="2" borderId="28" xfId="6" applyFont="1" applyFill="1" applyBorder="1" applyAlignment="1">
      <alignment horizontal="left" vertical="center"/>
    </xf>
    <xf numFmtId="0" fontId="9" fillId="2" borderId="29" xfId="6" applyNumberFormat="1" applyFont="1" applyFill="1" applyBorder="1" applyAlignment="1">
      <alignment horizontal="center" vertical="center"/>
    </xf>
    <xf numFmtId="167" fontId="9" fillId="2" borderId="30" xfId="7" applyNumberFormat="1" applyFont="1" applyFill="1" applyBorder="1" applyAlignment="1">
      <alignment horizontal="right" vertical="center"/>
    </xf>
    <xf numFmtId="0" fontId="9" fillId="0" borderId="0" xfId="6" applyFont="1" applyFill="1" applyBorder="1" applyAlignment="1">
      <alignment horizontal="left" vertical="center"/>
    </xf>
    <xf numFmtId="0" fontId="9" fillId="0" borderId="0" xfId="6" applyNumberFormat="1" applyFont="1" applyFill="1" applyBorder="1" applyAlignment="1">
      <alignment horizontal="center" vertical="center"/>
    </xf>
    <xf numFmtId="167" fontId="9" fillId="0" borderId="0" xfId="7" applyNumberFormat="1" applyFont="1" applyFill="1" applyBorder="1" applyAlignment="1">
      <alignment horizontal="right" vertical="center"/>
    </xf>
    <xf numFmtId="0" fontId="0" fillId="0" borderId="0" xfId="0" applyFill="1" applyBorder="1"/>
    <xf numFmtId="49" fontId="10" fillId="0" borderId="0" xfId="0" applyNumberFormat="1" applyFont="1" applyBorder="1"/>
    <xf numFmtId="49" fontId="2" fillId="0" borderId="0" xfId="0" applyNumberFormat="1" applyFont="1" applyBorder="1"/>
    <xf numFmtId="49" fontId="9" fillId="0" borderId="0" xfId="0" applyNumberFormat="1" applyFont="1" applyBorder="1"/>
    <xf numFmtId="0" fontId="4" fillId="0" borderId="0" xfId="0" applyFont="1" applyBorder="1"/>
    <xf numFmtId="169" fontId="4" fillId="0" borderId="0" xfId="2" applyNumberFormat="1" applyFont="1" applyFill="1" applyBorder="1" applyAlignment="1" applyProtection="1">
      <alignment vertical="top" wrapText="1"/>
      <protection locked="0"/>
    </xf>
    <xf numFmtId="169" fontId="4" fillId="0" borderId="9" xfId="2" applyNumberFormat="1" applyFont="1" applyFill="1" applyBorder="1" applyAlignment="1" applyProtection="1">
      <alignment vertical="top" wrapText="1"/>
      <protection locked="0"/>
    </xf>
    <xf numFmtId="10" fontId="4" fillId="0" borderId="0" xfId="0" applyNumberFormat="1" applyFont="1" applyFill="1" applyBorder="1" applyAlignment="1" applyProtection="1">
      <alignment vertical="top" wrapText="1"/>
    </xf>
    <xf numFmtId="10" fontId="4" fillId="0" borderId="9" xfId="0" applyNumberFormat="1" applyFont="1" applyFill="1" applyBorder="1" applyAlignment="1" applyProtection="1">
      <alignment vertical="top" wrapText="1"/>
    </xf>
    <xf numFmtId="10" fontId="4" fillId="0" borderId="0" xfId="0" applyNumberFormat="1" applyFont="1" applyFill="1" applyBorder="1" applyAlignment="1" applyProtection="1">
      <alignment vertical="top" wrapText="1"/>
      <protection locked="0"/>
    </xf>
    <xf numFmtId="10" fontId="4" fillId="0" borderId="9" xfId="0" applyNumberFormat="1" applyFont="1" applyFill="1" applyBorder="1" applyAlignment="1" applyProtection="1">
      <alignment vertical="top" wrapText="1"/>
      <protection locked="0"/>
    </xf>
    <xf numFmtId="0" fontId="4" fillId="0" borderId="0" xfId="0" applyFont="1"/>
    <xf numFmtId="0" fontId="5" fillId="2" borderId="2" xfId="3" applyFont="1" applyFill="1" applyBorder="1" applyAlignment="1" applyProtection="1">
      <alignment horizontal="center"/>
    </xf>
    <xf numFmtId="0" fontId="5" fillId="2" borderId="2" xfId="3" quotePrefix="1" applyNumberFormat="1" applyFont="1" applyFill="1" applyBorder="1" applyAlignment="1" applyProtection="1">
      <alignment horizontal="center"/>
    </xf>
    <xf numFmtId="0" fontId="5" fillId="2" borderId="6" xfId="3" applyFont="1" applyFill="1" applyBorder="1" applyAlignment="1" applyProtection="1">
      <alignment horizontal="center"/>
    </xf>
    <xf numFmtId="0" fontId="3" fillId="2" borderId="15" xfId="4" applyFont="1" applyFill="1" applyBorder="1" applyAlignment="1" applyProtection="1">
      <alignment wrapText="1"/>
    </xf>
    <xf numFmtId="167" fontId="3" fillId="2" borderId="17" xfId="1" applyNumberFormat="1" applyFont="1" applyFill="1" applyBorder="1" applyProtection="1"/>
    <xf numFmtId="0" fontId="3" fillId="2" borderId="19" xfId="4" applyFont="1" applyFill="1" applyBorder="1" applyAlignment="1" applyProtection="1">
      <alignment wrapText="1"/>
    </xf>
    <xf numFmtId="167" fontId="3" fillId="2" borderId="20" xfId="1" applyNumberFormat="1" applyFont="1" applyFill="1" applyBorder="1" applyProtection="1"/>
    <xf numFmtId="167" fontId="3" fillId="2" borderId="21" xfId="1" applyNumberFormat="1" applyFont="1" applyFill="1" applyBorder="1" applyProtection="1"/>
    <xf numFmtId="0" fontId="3" fillId="6" borderId="15" xfId="4" applyFont="1" applyFill="1" applyBorder="1" applyAlignment="1" applyProtection="1">
      <alignment wrapText="1"/>
    </xf>
    <xf numFmtId="167" fontId="3" fillId="6" borderId="16" xfId="1" applyNumberFormat="1" applyFont="1" applyFill="1" applyBorder="1" applyProtection="1"/>
    <xf numFmtId="167" fontId="3" fillId="6" borderId="18" xfId="1" applyNumberFormat="1" applyFont="1" applyFill="1" applyBorder="1" applyProtection="1"/>
    <xf numFmtId="167" fontId="3" fillId="7" borderId="22" xfId="1" applyNumberFormat="1" applyFont="1" applyFill="1" applyBorder="1" applyAlignment="1" applyProtection="1">
      <alignment wrapText="1"/>
    </xf>
    <xf numFmtId="167" fontId="3" fillId="7" borderId="16" xfId="1" applyNumberFormat="1" applyFont="1" applyFill="1" applyBorder="1" applyProtection="1"/>
    <xf numFmtId="167" fontId="3" fillId="7" borderId="18" xfId="1" applyNumberFormat="1" applyFont="1" applyFill="1" applyBorder="1" applyProtection="1"/>
    <xf numFmtId="167" fontId="3" fillId="7" borderId="15" xfId="1" applyNumberFormat="1" applyFont="1" applyFill="1" applyBorder="1" applyAlignment="1" applyProtection="1">
      <alignment wrapText="1"/>
    </xf>
    <xf numFmtId="169" fontId="4" fillId="0" borderId="37" xfId="2" applyNumberFormat="1" applyFont="1" applyFill="1" applyBorder="1" applyAlignment="1" applyProtection="1">
      <alignment vertical="top" wrapText="1"/>
      <protection locked="0"/>
    </xf>
    <xf numFmtId="169" fontId="9" fillId="5" borderId="0" xfId="2" applyNumberFormat="1" applyFont="1" applyFill="1" applyBorder="1" applyAlignment="1" applyProtection="1">
      <alignment vertical="top" wrapText="1"/>
    </xf>
    <xf numFmtId="169" fontId="9" fillId="5" borderId="9" xfId="2" applyNumberFormat="1" applyFont="1" applyFill="1" applyBorder="1" applyAlignment="1" applyProtection="1">
      <alignment vertical="top" wrapText="1"/>
    </xf>
    <xf numFmtId="0" fontId="4" fillId="5" borderId="34" xfId="0" applyFont="1" applyFill="1" applyBorder="1" applyAlignment="1" applyProtection="1">
      <alignment vertical="top" wrapText="1"/>
    </xf>
    <xf numFmtId="0" fontId="4" fillId="0" borderId="49" xfId="6" applyFont="1" applyFill="1" applyBorder="1"/>
    <xf numFmtId="0" fontId="9" fillId="4" borderId="50" xfId="6" applyFont="1" applyFill="1" applyBorder="1" applyAlignment="1">
      <alignment vertical="center"/>
    </xf>
    <xf numFmtId="0" fontId="4" fillId="0" borderId="49" xfId="8" applyFont="1" applyBorder="1"/>
    <xf numFmtId="0" fontId="9" fillId="4" borderId="50" xfId="6" applyFont="1" applyFill="1" applyBorder="1" applyAlignment="1">
      <alignment horizontal="left" vertical="center"/>
    </xf>
    <xf numFmtId="0" fontId="9" fillId="2" borderId="51" xfId="6" applyFont="1" applyFill="1" applyBorder="1" applyAlignment="1">
      <alignment horizontal="left" vertical="center"/>
    </xf>
    <xf numFmtId="0" fontId="4" fillId="0" borderId="46" xfId="6" applyNumberFormat="1" applyFont="1" applyFill="1" applyBorder="1" applyAlignment="1">
      <alignment horizontal="center"/>
    </xf>
    <xf numFmtId="0" fontId="4" fillId="0" borderId="46" xfId="8" applyFont="1" applyBorder="1" applyAlignment="1">
      <alignment horizontal="center"/>
    </xf>
    <xf numFmtId="0" fontId="4" fillId="0" borderId="46" xfId="8" applyFont="1" applyFill="1" applyBorder="1" applyAlignment="1">
      <alignment horizontal="center"/>
    </xf>
    <xf numFmtId="0" fontId="9" fillId="4" borderId="47" xfId="6" applyNumberFormat="1" applyFont="1" applyFill="1" applyBorder="1" applyAlignment="1">
      <alignment horizontal="center" vertical="center"/>
    </xf>
    <xf numFmtId="0" fontId="9" fillId="2" borderId="48" xfId="6" applyNumberFormat="1" applyFont="1" applyFill="1" applyBorder="1" applyAlignment="1">
      <alignment horizontal="center" vertical="center"/>
    </xf>
    <xf numFmtId="0" fontId="0" fillId="0" borderId="52" xfId="0" applyBorder="1"/>
    <xf numFmtId="0" fontId="0" fillId="0" borderId="53" xfId="0" applyBorder="1"/>
    <xf numFmtId="0" fontId="0" fillId="0" borderId="53" xfId="0" applyFill="1" applyBorder="1"/>
    <xf numFmtId="0" fontId="4" fillId="0" borderId="53" xfId="6" applyFont="1" applyFill="1" applyBorder="1"/>
    <xf numFmtId="0" fontId="9" fillId="4" borderId="54" xfId="6" applyFont="1" applyFill="1" applyBorder="1" applyAlignment="1">
      <alignment vertical="center"/>
    </xf>
    <xf numFmtId="0" fontId="4" fillId="0" borderId="53" xfId="8" applyFont="1" applyBorder="1"/>
    <xf numFmtId="0" fontId="9" fillId="4" borderId="54" xfId="6" applyFont="1" applyFill="1" applyBorder="1" applyAlignment="1">
      <alignment horizontal="left" vertical="center"/>
    </xf>
    <xf numFmtId="0" fontId="9" fillId="2" borderId="55" xfId="6" applyFont="1" applyFill="1" applyBorder="1" applyAlignment="1">
      <alignment horizontal="left" vertical="center"/>
    </xf>
    <xf numFmtId="0" fontId="3" fillId="0" borderId="13" xfId="4" applyFont="1" applyBorder="1" applyAlignment="1" applyProtection="1">
      <alignment wrapText="1"/>
    </xf>
    <xf numFmtId="167" fontId="11" fillId="0" borderId="14" xfId="1" applyNumberFormat="1" applyFont="1" applyFill="1" applyBorder="1" applyProtection="1"/>
    <xf numFmtId="0" fontId="4" fillId="0" borderId="0" xfId="6" applyFont="1" applyFill="1" applyBorder="1"/>
    <xf numFmtId="0" fontId="4" fillId="5" borderId="33" xfId="0" applyFont="1" applyFill="1" applyBorder="1" applyAlignment="1" applyProtection="1">
      <alignment vertical="top" wrapText="1"/>
    </xf>
    <xf numFmtId="0" fontId="4" fillId="0" borderId="0" xfId="0" applyFont="1" applyFill="1" applyBorder="1" applyAlignment="1" applyProtection="1">
      <alignment vertical="top" wrapText="1"/>
      <protection locked="0"/>
    </xf>
    <xf numFmtId="0" fontId="9" fillId="4" borderId="33" xfId="0" applyFont="1" applyFill="1" applyBorder="1" applyAlignment="1" applyProtection="1">
      <alignment horizontal="center" vertical="top" wrapText="1"/>
    </xf>
    <xf numFmtId="0" fontId="9" fillId="4" borderId="34" xfId="0" applyFont="1" applyFill="1" applyBorder="1" applyAlignment="1" applyProtection="1">
      <alignment horizontal="center" vertical="top" wrapText="1"/>
    </xf>
    <xf numFmtId="0" fontId="9" fillId="4" borderId="38" xfId="0" applyFont="1" applyFill="1" applyBorder="1" applyAlignment="1" applyProtection="1">
      <alignment horizontal="center" vertical="top" wrapText="1"/>
    </xf>
    <xf numFmtId="0" fontId="9" fillId="4" borderId="39" xfId="0" applyFont="1" applyFill="1" applyBorder="1" applyAlignment="1" applyProtection="1">
      <alignment horizontal="center" vertical="top" wrapText="1"/>
    </xf>
    <xf numFmtId="0" fontId="9" fillId="4" borderId="40" xfId="0" applyFont="1" applyFill="1" applyBorder="1" applyAlignment="1" applyProtection="1">
      <alignment horizontal="center" vertical="top" wrapText="1"/>
    </xf>
    <xf numFmtId="0" fontId="4" fillId="0" borderId="9" xfId="0" applyFont="1" applyFill="1" applyBorder="1" applyAlignment="1" applyProtection="1">
      <alignment vertical="top" wrapText="1"/>
      <protection locked="0"/>
    </xf>
    <xf numFmtId="10" fontId="4" fillId="0" borderId="36" xfId="0" applyNumberFormat="1" applyFont="1" applyFill="1" applyBorder="1" applyAlignment="1" applyProtection="1">
      <alignment vertical="top" wrapText="1"/>
    </xf>
    <xf numFmtId="10" fontId="4" fillId="0" borderId="37" xfId="0" applyNumberFormat="1" applyFont="1" applyFill="1" applyBorder="1" applyAlignment="1" applyProtection="1">
      <alignment vertical="top" wrapText="1"/>
    </xf>
    <xf numFmtId="0" fontId="0" fillId="0" borderId="0" xfId="0" applyFont="1"/>
    <xf numFmtId="0" fontId="6" fillId="0" borderId="13" xfId="0" quotePrefix="1" applyFont="1" applyBorder="1" applyAlignment="1">
      <alignment horizontal="left"/>
    </xf>
    <xf numFmtId="0" fontId="4" fillId="0" borderId="9" xfId="0" applyFont="1" applyBorder="1"/>
    <xf numFmtId="0" fontId="9" fillId="8" borderId="34" xfId="0" applyFont="1" applyFill="1" applyBorder="1" applyAlignment="1" applyProtection="1">
      <alignment vertical="top" wrapText="1"/>
    </xf>
    <xf numFmtId="0" fontId="9" fillId="8" borderId="9" xfId="0" applyFont="1" applyFill="1" applyBorder="1" applyAlignment="1" applyProtection="1">
      <alignment vertical="top" wrapText="1"/>
    </xf>
    <xf numFmtId="0" fontId="4" fillId="8" borderId="9" xfId="0" applyFont="1" applyFill="1" applyBorder="1" applyAlignment="1" applyProtection="1">
      <alignment vertical="top" wrapText="1"/>
    </xf>
    <xf numFmtId="0" fontId="9" fillId="8" borderId="14" xfId="0" applyFont="1" applyFill="1" applyBorder="1" applyAlignment="1" applyProtection="1">
      <alignment vertical="top" wrapText="1"/>
    </xf>
    <xf numFmtId="0" fontId="9" fillId="8" borderId="20" xfId="0" applyFont="1" applyFill="1" applyBorder="1" applyAlignment="1" applyProtection="1">
      <alignment vertical="top" wrapText="1"/>
    </xf>
    <xf numFmtId="0" fontId="4" fillId="8" borderId="14" xfId="0" applyFont="1" applyFill="1" applyBorder="1" applyAlignment="1" applyProtection="1">
      <alignment vertical="top" wrapText="1"/>
    </xf>
    <xf numFmtId="0" fontId="9" fillId="8" borderId="56" xfId="0" applyFont="1" applyFill="1" applyBorder="1" applyAlignment="1" applyProtection="1">
      <alignment vertical="top" wrapText="1"/>
    </xf>
    <xf numFmtId="0" fontId="9" fillId="8" borderId="41" xfId="0" applyFont="1" applyFill="1" applyBorder="1" applyAlignment="1" applyProtection="1">
      <alignment vertical="top" wrapText="1"/>
    </xf>
    <xf numFmtId="0" fontId="9" fillId="8" borderId="49" xfId="0" applyFont="1" applyFill="1" applyBorder="1" applyAlignment="1" applyProtection="1">
      <alignment vertical="top" wrapText="1"/>
    </xf>
    <xf numFmtId="0" fontId="9" fillId="8" borderId="50" xfId="0" applyFont="1" applyFill="1" applyBorder="1" applyAlignment="1" applyProtection="1">
      <alignment vertical="top" wrapText="1"/>
    </xf>
    <xf numFmtId="0" fontId="4" fillId="8" borderId="49" xfId="0" applyFont="1" applyFill="1" applyBorder="1" applyAlignment="1" applyProtection="1">
      <alignment vertical="top" wrapText="1"/>
    </xf>
    <xf numFmtId="0" fontId="9" fillId="8" borderId="43" xfId="0" applyFont="1" applyFill="1" applyBorder="1" applyAlignment="1" applyProtection="1">
      <alignment vertical="top" wrapText="1"/>
    </xf>
    <xf numFmtId="0" fontId="4" fillId="0" borderId="0" xfId="0" applyNumberFormat="1" applyFont="1" applyFill="1" applyBorder="1" applyAlignment="1" applyProtection="1">
      <alignment vertical="top" wrapText="1"/>
      <protection locked="0"/>
    </xf>
    <xf numFmtId="0" fontId="4" fillId="0" borderId="9" xfId="0" applyNumberFormat="1" applyFont="1" applyFill="1" applyBorder="1" applyAlignment="1" applyProtection="1">
      <alignment vertical="top" wrapText="1"/>
      <protection locked="0"/>
    </xf>
    <xf numFmtId="0" fontId="4" fillId="0" borderId="45" xfId="0" applyNumberFormat="1" applyFont="1" applyFill="1" applyBorder="1" applyAlignment="1" applyProtection="1">
      <alignment vertical="top" wrapText="1"/>
      <protection locked="0"/>
    </xf>
    <xf numFmtId="0" fontId="4" fillId="0" borderId="12" xfId="0" applyNumberFormat="1" applyFont="1" applyFill="1" applyBorder="1" applyAlignment="1" applyProtection="1">
      <alignment vertical="top" wrapText="1"/>
      <protection locked="0"/>
    </xf>
    <xf numFmtId="37" fontId="6" fillId="0" borderId="14" xfId="1" applyNumberFormat="1" applyFont="1" applyFill="1" applyBorder="1" applyProtection="1"/>
    <xf numFmtId="0" fontId="5" fillId="2" borderId="8" xfId="3" applyFont="1" applyFill="1" applyBorder="1" applyAlignment="1" applyProtection="1">
      <alignment horizontal="center"/>
    </xf>
    <xf numFmtId="0" fontId="5" fillId="2" borderId="11" xfId="3" applyFont="1" applyFill="1" applyBorder="1" applyAlignment="1" applyProtection="1">
      <alignment horizontal="center"/>
    </xf>
    <xf numFmtId="0" fontId="5" fillId="2" borderId="8" xfId="3" applyFont="1" applyFill="1" applyBorder="1" applyAlignment="1" applyProtection="1">
      <alignment horizontal="center" wrapText="1"/>
    </xf>
    <xf numFmtId="0" fontId="5" fillId="2" borderId="11" xfId="3" applyFont="1" applyFill="1" applyBorder="1" applyAlignment="1" applyProtection="1">
      <alignment horizontal="center" wrapText="1"/>
    </xf>
    <xf numFmtId="0" fontId="5" fillId="2" borderId="9" xfId="3" applyFont="1" applyFill="1" applyBorder="1" applyAlignment="1" applyProtection="1">
      <alignment horizontal="center" wrapText="1"/>
    </xf>
    <xf numFmtId="0" fontId="5" fillId="2" borderId="12" xfId="3" applyFont="1" applyFill="1" applyBorder="1" applyAlignment="1" applyProtection="1">
      <alignment horizontal="center" wrapText="1"/>
    </xf>
    <xf numFmtId="0" fontId="5" fillId="2" borderId="1" xfId="3" applyFont="1" applyFill="1" applyBorder="1" applyAlignment="1" applyProtection="1">
      <alignment horizontal="center" vertical="center" wrapText="1"/>
    </xf>
    <xf numFmtId="0" fontId="5" fillId="2" borderId="7" xfId="3" applyFont="1" applyFill="1" applyBorder="1" applyAlignment="1" applyProtection="1">
      <alignment horizontal="center" vertical="center" wrapText="1"/>
    </xf>
    <xf numFmtId="0" fontId="5" fillId="2" borderId="10" xfId="3" applyFont="1" applyFill="1" applyBorder="1" applyAlignment="1" applyProtection="1">
      <alignment horizontal="center" vertical="center" wrapText="1"/>
    </xf>
    <xf numFmtId="17" fontId="3" fillId="2" borderId="3" xfId="3" quotePrefix="1" applyNumberFormat="1" applyFont="1" applyFill="1" applyBorder="1" applyAlignment="1">
      <alignment horizontal="center"/>
    </xf>
    <xf numFmtId="17" fontId="3" fillId="2" borderId="4" xfId="3" applyNumberFormat="1" applyFont="1" applyFill="1" applyBorder="1" applyAlignment="1">
      <alignment horizontal="center"/>
    </xf>
    <xf numFmtId="17" fontId="3" fillId="2" borderId="5" xfId="3" applyNumberFormat="1" applyFont="1" applyFill="1" applyBorder="1" applyAlignment="1">
      <alignment horizontal="center"/>
    </xf>
    <xf numFmtId="0" fontId="3" fillId="0" borderId="0" xfId="0" quotePrefix="1" applyFont="1" applyBorder="1" applyAlignment="1">
      <alignment horizontal="center"/>
    </xf>
    <xf numFmtId="0" fontId="6" fillId="0" borderId="0" xfId="0" quotePrefix="1" applyFont="1" applyBorder="1" applyAlignment="1">
      <alignment horizontal="center"/>
    </xf>
    <xf numFmtId="164" fontId="9" fillId="3" borderId="2" xfId="6" quotePrefix="1" applyNumberFormat="1" applyFont="1" applyFill="1" applyBorder="1" applyAlignment="1">
      <alignment horizontal="center"/>
    </xf>
    <xf numFmtId="164" fontId="9" fillId="3" borderId="6" xfId="6" applyNumberFormat="1" applyFont="1" applyFill="1" applyBorder="1" applyAlignment="1">
      <alignment horizontal="center"/>
    </xf>
    <xf numFmtId="0" fontId="4" fillId="8" borderId="13" xfId="0" applyFont="1" applyFill="1" applyBorder="1" applyAlignment="1" applyProtection="1">
      <alignment horizontal="left" vertical="top" wrapText="1"/>
    </xf>
    <xf numFmtId="0" fontId="4" fillId="8" borderId="0" xfId="0" applyFont="1" applyFill="1" applyBorder="1" applyAlignment="1" applyProtection="1">
      <alignment horizontal="left" vertical="top" wrapText="1"/>
    </xf>
    <xf numFmtId="0" fontId="9" fillId="8" borderId="19" xfId="0" applyFont="1" applyFill="1" applyBorder="1" applyAlignment="1" applyProtection="1">
      <alignment horizontal="center" vertical="top" wrapText="1"/>
    </xf>
    <xf numFmtId="0" fontId="9" fillId="8" borderId="33" xfId="0" applyFont="1" applyFill="1" applyBorder="1" applyAlignment="1" applyProtection="1">
      <alignment horizontal="center" vertical="top" wrapText="1"/>
    </xf>
    <xf numFmtId="0" fontId="4" fillId="0" borderId="13" xfId="0" applyFont="1" applyFill="1" applyBorder="1" applyAlignment="1" applyProtection="1">
      <alignment horizontal="left" vertical="top" wrapText="1"/>
      <protection locked="0"/>
    </xf>
    <xf numFmtId="0" fontId="4" fillId="0" borderId="0" xfId="0" applyFont="1" applyFill="1" applyBorder="1" applyAlignment="1" applyProtection="1">
      <alignment horizontal="left" vertical="top" wrapText="1"/>
      <protection locked="0"/>
    </xf>
    <xf numFmtId="0" fontId="4" fillId="0" borderId="44" xfId="0" applyFont="1" applyFill="1" applyBorder="1" applyAlignment="1" applyProtection="1">
      <alignment horizontal="left" vertical="top" wrapText="1"/>
      <protection locked="0"/>
    </xf>
    <xf numFmtId="0" fontId="4" fillId="0" borderId="45" xfId="0" applyFont="1" applyFill="1" applyBorder="1" applyAlignment="1" applyProtection="1">
      <alignment horizontal="left" vertical="top" wrapText="1"/>
      <protection locked="0"/>
    </xf>
    <xf numFmtId="0" fontId="4" fillId="0" borderId="35" xfId="0" applyFont="1" applyFill="1" applyBorder="1" applyAlignment="1" applyProtection="1">
      <alignment horizontal="left" vertical="top" wrapText="1"/>
      <protection locked="0"/>
    </xf>
    <xf numFmtId="0" fontId="4" fillId="0" borderId="36" xfId="0" applyFont="1" applyFill="1" applyBorder="1" applyAlignment="1" applyProtection="1">
      <alignment horizontal="left" vertical="top" wrapText="1"/>
      <protection locked="0"/>
    </xf>
    <xf numFmtId="0" fontId="9" fillId="5" borderId="19" xfId="0" applyFont="1" applyFill="1" applyBorder="1" applyAlignment="1" applyProtection="1">
      <alignment vertical="top" wrapText="1"/>
    </xf>
    <xf numFmtId="0" fontId="9" fillId="5" borderId="33" xfId="0" applyFont="1" applyFill="1" applyBorder="1" applyAlignment="1" applyProtection="1">
      <alignment vertical="top" wrapText="1"/>
    </xf>
    <xf numFmtId="0" fontId="9" fillId="5" borderId="34" xfId="0" applyFont="1" applyFill="1" applyBorder="1" applyAlignment="1" applyProtection="1">
      <alignment vertical="top" wrapText="1"/>
    </xf>
    <xf numFmtId="0" fontId="4" fillId="8" borderId="13" xfId="0" applyFont="1" applyFill="1" applyBorder="1" applyAlignment="1" applyProtection="1">
      <alignment horizontal="center" vertical="top" wrapText="1"/>
    </xf>
    <xf numFmtId="0" fontId="4" fillId="8" borderId="0" xfId="0" applyFont="1" applyFill="1" applyBorder="1" applyAlignment="1" applyProtection="1">
      <alignment horizontal="center" vertical="top" wrapText="1"/>
    </xf>
    <xf numFmtId="0" fontId="9" fillId="8" borderId="0" xfId="0" applyFont="1" applyFill="1" applyBorder="1" applyAlignment="1" applyProtection="1">
      <alignment horizontal="left" vertical="top" wrapText="1"/>
    </xf>
    <xf numFmtId="0" fontId="4" fillId="8" borderId="33" xfId="0" applyFont="1" applyFill="1" applyBorder="1" applyAlignment="1" applyProtection="1">
      <alignment horizontal="center" vertical="top" wrapText="1"/>
    </xf>
    <xf numFmtId="0" fontId="4" fillId="0" borderId="13" xfId="0" applyFont="1" applyFill="1" applyBorder="1" applyAlignment="1" applyProtection="1">
      <alignment horizontal="left" vertical="top" wrapText="1"/>
    </xf>
    <xf numFmtId="0" fontId="4" fillId="0" borderId="0" xfId="0" applyFont="1" applyFill="1" applyBorder="1" applyAlignment="1" applyProtection="1">
      <alignment horizontal="left" vertical="top" wrapText="1"/>
    </xf>
    <xf numFmtId="0" fontId="4" fillId="0" borderId="9" xfId="0" applyFont="1" applyFill="1" applyBorder="1" applyAlignment="1" applyProtection="1">
      <alignment horizontal="left" vertical="top" wrapText="1"/>
    </xf>
    <xf numFmtId="0" fontId="4" fillId="0" borderId="38" xfId="0" applyFont="1" applyFill="1" applyBorder="1" applyAlignment="1" applyProtection="1">
      <alignment horizontal="left" vertical="top" wrapText="1"/>
    </xf>
    <xf numFmtId="0" fontId="4" fillId="0" borderId="39" xfId="0" applyFont="1" applyFill="1" applyBorder="1" applyAlignment="1" applyProtection="1">
      <alignment horizontal="left" vertical="top" wrapText="1"/>
    </xf>
    <xf numFmtId="0" fontId="4" fillId="0" borderId="40" xfId="0" applyFont="1" applyFill="1" applyBorder="1" applyAlignment="1" applyProtection="1">
      <alignment horizontal="left" vertical="top" wrapText="1"/>
    </xf>
    <xf numFmtId="0" fontId="9" fillId="4" borderId="19" xfId="0" applyFont="1" applyFill="1" applyBorder="1" applyAlignment="1" applyProtection="1">
      <alignment vertical="top" wrapText="1"/>
    </xf>
    <xf numFmtId="0" fontId="9" fillId="4" borderId="33" xfId="0" applyFont="1" applyFill="1" applyBorder="1" applyAlignment="1" applyProtection="1">
      <alignment vertical="top" wrapText="1"/>
    </xf>
    <xf numFmtId="0" fontId="9" fillId="5" borderId="35" xfId="0" applyFont="1" applyFill="1" applyBorder="1" applyAlignment="1" applyProtection="1">
      <alignment vertical="top" wrapText="1"/>
    </xf>
    <xf numFmtId="0" fontId="9" fillId="5" borderId="36" xfId="0" applyFont="1" applyFill="1" applyBorder="1" applyAlignment="1" applyProtection="1">
      <alignment vertical="top" wrapText="1"/>
    </xf>
    <xf numFmtId="0" fontId="9" fillId="5" borderId="37" xfId="0" applyFont="1" applyFill="1" applyBorder="1" applyAlignment="1" applyProtection="1">
      <alignment vertical="top" wrapText="1"/>
    </xf>
    <xf numFmtId="0" fontId="9" fillId="4" borderId="38" xfId="0" applyFont="1" applyFill="1" applyBorder="1" applyAlignment="1" applyProtection="1">
      <alignment horizontal="center" vertical="top" wrapText="1"/>
    </xf>
    <xf numFmtId="0" fontId="9" fillId="4" borderId="39" xfId="0" applyFont="1" applyFill="1" applyBorder="1" applyAlignment="1" applyProtection="1">
      <alignment horizontal="center" vertical="top" wrapText="1"/>
    </xf>
    <xf numFmtId="0" fontId="9" fillId="4" borderId="40" xfId="0" applyFont="1" applyFill="1" applyBorder="1" applyAlignment="1" applyProtection="1">
      <alignment horizontal="center" vertical="top" wrapText="1"/>
    </xf>
    <xf numFmtId="0" fontId="9" fillId="5" borderId="27" xfId="0" applyFont="1" applyFill="1" applyBorder="1" applyAlignment="1" applyProtection="1">
      <alignment horizontal="center" vertical="top" wrapText="1"/>
    </xf>
    <xf numFmtId="0" fontId="9" fillId="5" borderId="20" xfId="0" applyFont="1" applyFill="1" applyBorder="1" applyAlignment="1" applyProtection="1">
      <alignment horizontal="center" vertical="top" wrapText="1"/>
    </xf>
    <xf numFmtId="0" fontId="9" fillId="5" borderId="21" xfId="0" applyFont="1" applyFill="1" applyBorder="1" applyAlignment="1" applyProtection="1">
      <alignment horizontal="center" vertical="top" wrapText="1"/>
    </xf>
    <xf numFmtId="0" fontId="9" fillId="4" borderId="19" xfId="0" applyFont="1" applyFill="1" applyBorder="1" applyAlignment="1" applyProtection="1">
      <alignment horizontal="center" vertical="top" wrapText="1"/>
    </xf>
    <xf numFmtId="0" fontId="4" fillId="4" borderId="33" xfId="0" applyFont="1" applyFill="1" applyBorder="1" applyAlignment="1" applyProtection="1">
      <alignment horizontal="center" vertical="top" wrapText="1"/>
    </xf>
    <xf numFmtId="0" fontId="4" fillId="4" borderId="34" xfId="0" applyFont="1" applyFill="1" applyBorder="1" applyAlignment="1" applyProtection="1">
      <alignment horizontal="center" vertical="top" wrapText="1"/>
    </xf>
    <xf numFmtId="0" fontId="4" fillId="0" borderId="13" xfId="0" applyFont="1" applyFill="1" applyBorder="1" applyAlignment="1" applyProtection="1">
      <alignment vertical="top" wrapText="1"/>
    </xf>
    <xf numFmtId="0" fontId="4" fillId="0" borderId="0" xfId="0" applyFont="1" applyFill="1" applyBorder="1" applyAlignment="1" applyProtection="1">
      <alignment vertical="top" wrapText="1"/>
    </xf>
    <xf numFmtId="0" fontId="4" fillId="5" borderId="33" xfId="0" applyFont="1" applyFill="1" applyBorder="1" applyAlignment="1" applyProtection="1">
      <alignment vertical="top" wrapText="1"/>
    </xf>
    <xf numFmtId="0" fontId="4" fillId="0" borderId="35" xfId="0" applyFont="1" applyFill="1" applyBorder="1" applyAlignment="1" applyProtection="1">
      <alignment horizontal="left" vertical="top" wrapText="1"/>
    </xf>
    <xf numFmtId="0" fontId="4" fillId="0" borderId="36" xfId="0" applyFont="1" applyFill="1" applyBorder="1" applyAlignment="1" applyProtection="1">
      <alignment horizontal="left" vertical="top" wrapText="1"/>
    </xf>
    <xf numFmtId="0" fontId="4" fillId="0" borderId="37" xfId="0" applyFont="1" applyFill="1" applyBorder="1" applyAlignment="1" applyProtection="1">
      <alignment horizontal="left" vertical="top" wrapText="1"/>
    </xf>
    <xf numFmtId="0" fontId="4" fillId="0" borderId="19" xfId="0" applyFont="1" applyFill="1" applyBorder="1" applyAlignment="1" applyProtection="1">
      <alignment vertical="top" wrapText="1"/>
      <protection locked="0"/>
    </xf>
    <xf numFmtId="0" fontId="4" fillId="0" borderId="33" xfId="0" applyFont="1" applyFill="1" applyBorder="1" applyAlignment="1" applyProtection="1">
      <alignment vertical="top" wrapText="1"/>
      <protection locked="0"/>
    </xf>
    <xf numFmtId="0" fontId="4" fillId="0" borderId="34" xfId="0" applyFont="1" applyFill="1" applyBorder="1" applyAlignment="1" applyProtection="1">
      <alignment vertical="top" wrapText="1"/>
      <protection locked="0"/>
    </xf>
    <xf numFmtId="0" fontId="3" fillId="0" borderId="22" xfId="0" quotePrefix="1" applyFont="1" applyBorder="1" applyAlignment="1">
      <alignment horizontal="center"/>
    </xf>
    <xf numFmtId="0" fontId="3" fillId="0" borderId="31" xfId="0" quotePrefix="1" applyFont="1" applyBorder="1" applyAlignment="1">
      <alignment horizontal="center"/>
    </xf>
    <xf numFmtId="0" fontId="3" fillId="0" borderId="32" xfId="0" quotePrefix="1" applyFont="1" applyBorder="1" applyAlignment="1">
      <alignment horizontal="center"/>
    </xf>
    <xf numFmtId="0" fontId="6" fillId="0" borderId="13" xfId="0" quotePrefix="1" applyFont="1" applyBorder="1" applyAlignment="1">
      <alignment horizontal="center"/>
    </xf>
    <xf numFmtId="0" fontId="6" fillId="0" borderId="9" xfId="0" quotePrefix="1" applyFont="1" applyBorder="1" applyAlignment="1">
      <alignment horizontal="center"/>
    </xf>
    <xf numFmtId="0" fontId="9" fillId="4" borderId="22" xfId="0" applyFont="1" applyFill="1" applyBorder="1" applyAlignment="1" applyProtection="1">
      <alignment horizontal="center" vertical="top" wrapText="1"/>
    </xf>
    <xf numFmtId="0" fontId="4" fillId="4" borderId="31" xfId="0" applyFont="1" applyFill="1" applyBorder="1" applyAlignment="1" applyProtection="1">
      <alignment horizontal="center" vertical="top" wrapText="1"/>
    </xf>
    <xf numFmtId="0" fontId="4" fillId="4" borderId="32" xfId="0" applyFont="1" applyFill="1" applyBorder="1" applyAlignment="1" applyProtection="1">
      <alignment horizontal="center" vertical="top" wrapText="1"/>
    </xf>
    <xf numFmtId="0" fontId="9" fillId="4" borderId="13" xfId="0" applyFont="1" applyFill="1" applyBorder="1" applyAlignment="1" applyProtection="1">
      <alignment horizontal="left" vertical="top" wrapText="1"/>
    </xf>
    <xf numFmtId="0" fontId="4" fillId="4" borderId="0" xfId="0" applyFont="1" applyFill="1" applyBorder="1" applyAlignment="1" applyProtection="1">
      <alignment horizontal="left" vertical="top" wrapText="1"/>
    </xf>
    <xf numFmtId="0" fontId="4" fillId="4" borderId="9" xfId="0" applyFont="1" applyFill="1" applyBorder="1" applyAlignment="1" applyProtection="1">
      <alignment horizontal="left" vertical="top" wrapText="1"/>
    </xf>
    <xf numFmtId="0" fontId="9" fillId="4" borderId="13" xfId="0" applyFont="1" applyFill="1" applyBorder="1" applyAlignment="1" applyProtection="1">
      <alignment vertical="top" wrapText="1"/>
    </xf>
    <xf numFmtId="0" fontId="4" fillId="4" borderId="0" xfId="0" applyFont="1" applyFill="1" applyBorder="1" applyAlignment="1" applyProtection="1">
      <alignment vertical="top" wrapText="1"/>
    </xf>
    <xf numFmtId="0" fontId="4" fillId="4" borderId="9" xfId="0" applyFont="1" applyFill="1" applyBorder="1" applyAlignment="1" applyProtection="1">
      <alignment vertical="top" wrapText="1"/>
    </xf>
    <xf numFmtId="0" fontId="4" fillId="0" borderId="13" xfId="0" applyFont="1" applyFill="1" applyBorder="1" applyAlignment="1" applyProtection="1">
      <alignment vertical="top" wrapText="1"/>
      <protection locked="0"/>
    </xf>
    <xf numFmtId="0" fontId="4" fillId="0" borderId="0" xfId="0" applyFont="1" applyFill="1" applyBorder="1" applyAlignment="1" applyProtection="1">
      <alignment vertical="top" wrapText="1"/>
      <protection locked="0"/>
    </xf>
    <xf numFmtId="0" fontId="4" fillId="0" borderId="9" xfId="0" applyFont="1" applyFill="1" applyBorder="1" applyAlignment="1" applyProtection="1">
      <alignment vertical="top" wrapText="1"/>
      <protection locked="0"/>
    </xf>
    <xf numFmtId="0" fontId="9" fillId="4" borderId="35" xfId="0" applyFont="1" applyFill="1" applyBorder="1" applyAlignment="1" applyProtection="1">
      <alignment horizontal="center" vertical="top" wrapText="1"/>
    </xf>
    <xf numFmtId="0" fontId="9" fillId="4" borderId="36" xfId="0" applyFont="1" applyFill="1" applyBorder="1" applyAlignment="1" applyProtection="1">
      <alignment horizontal="center" vertical="top" wrapText="1"/>
    </xf>
    <xf numFmtId="0" fontId="9" fillId="4" borderId="37" xfId="0" applyFont="1" applyFill="1" applyBorder="1" applyAlignment="1" applyProtection="1">
      <alignment horizontal="center" vertical="top" wrapText="1"/>
    </xf>
    <xf numFmtId="0" fontId="9" fillId="4" borderId="39" xfId="0" applyFont="1" applyFill="1" applyBorder="1" applyAlignment="1" applyProtection="1">
      <alignment horizontal="left" vertical="top" wrapText="1"/>
    </xf>
    <xf numFmtId="0" fontId="9" fillId="5" borderId="13" xfId="0" applyFont="1" applyFill="1" applyBorder="1" applyAlignment="1" applyProtection="1">
      <alignment vertical="top" wrapText="1"/>
    </xf>
    <xf numFmtId="0" fontId="9" fillId="5" borderId="0" xfId="0" applyFont="1" applyFill="1" applyBorder="1" applyAlignment="1" applyProtection="1">
      <alignment vertical="top" wrapText="1"/>
    </xf>
    <xf numFmtId="0" fontId="4" fillId="0" borderId="42" xfId="0" applyFont="1" applyFill="1" applyBorder="1" applyAlignment="1" applyProtection="1">
      <alignment horizontal="left" vertical="top" wrapText="1"/>
    </xf>
    <xf numFmtId="0" fontId="4" fillId="0" borderId="43" xfId="0" applyFont="1" applyFill="1" applyBorder="1" applyAlignment="1" applyProtection="1">
      <alignment horizontal="left" vertical="top" wrapText="1"/>
    </xf>
    <xf numFmtId="0" fontId="9" fillId="4" borderId="33" xfId="0" applyFont="1" applyFill="1" applyBorder="1" applyAlignment="1" applyProtection="1">
      <alignment horizontal="center" vertical="top" wrapText="1"/>
    </xf>
    <xf numFmtId="0" fontId="9" fillId="4" borderId="34" xfId="0" applyFont="1" applyFill="1" applyBorder="1" applyAlignment="1" applyProtection="1">
      <alignment horizontal="center" vertical="top" wrapText="1"/>
    </xf>
  </cellXfs>
  <cellStyles count="10">
    <cellStyle name="Comma" xfId="1" builtinId="3"/>
    <cellStyle name="Comma 2" xfId="7"/>
    <cellStyle name="Currency" xfId="2" builtinId="4"/>
    <cellStyle name="Normal" xfId="0" builtinId="0"/>
    <cellStyle name="Normal 10" xfId="6"/>
    <cellStyle name="Normal 133" xfId="9"/>
    <cellStyle name="Normal 2" xfId="3"/>
    <cellStyle name="Normal 2 2" xfId="4"/>
    <cellStyle name="Normal 2 2 2" xfId="5"/>
    <cellStyle name="Normal 56"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6"/>
  <sheetViews>
    <sheetView zoomScaleNormal="100" workbookViewId="0">
      <pane xSplit="1" ySplit="8" topLeftCell="B9" activePane="bottomRight" state="frozen"/>
      <selection pane="topRight" activeCell="B1" sqref="B1"/>
      <selection pane="bottomLeft" activeCell="A9" sqref="A9"/>
      <selection pane="bottomRight" activeCell="C52" sqref="C52"/>
    </sheetView>
  </sheetViews>
  <sheetFormatPr defaultColWidth="9.140625" defaultRowHeight="12.75" x14ac:dyDescent="0.2"/>
  <cols>
    <col min="1" max="1" width="57" style="2" customWidth="1"/>
    <col min="2" max="2" width="21.7109375" style="2" bestFit="1" customWidth="1"/>
    <col min="3" max="4" width="14.5703125" style="2" customWidth="1"/>
    <col min="5" max="5" width="13.5703125" style="2" customWidth="1"/>
    <col min="6" max="6" width="14.28515625" style="2" bestFit="1" customWidth="1"/>
    <col min="7" max="7" width="13.5703125" style="2" customWidth="1"/>
    <col min="8" max="8" width="14" style="2" customWidth="1"/>
    <col min="9" max="12" width="9.140625" style="2" customWidth="1"/>
    <col min="13" max="13" width="1.28515625" style="2" customWidth="1"/>
    <col min="14" max="16384" width="9.140625" style="2"/>
  </cols>
  <sheetData>
    <row r="1" spans="1:8" ht="21" customHeight="1" x14ac:dyDescent="0.25">
      <c r="A1" s="1" t="s">
        <v>41</v>
      </c>
      <c r="B1" s="1"/>
      <c r="C1" s="1"/>
      <c r="D1" s="1"/>
      <c r="E1" s="1"/>
      <c r="F1" s="1"/>
      <c r="G1" s="1"/>
      <c r="H1" s="1"/>
    </row>
    <row r="2" spans="1:8" ht="21" customHeight="1" x14ac:dyDescent="0.25">
      <c r="A2" s="1" t="s">
        <v>0</v>
      </c>
      <c r="B2" s="1"/>
      <c r="C2" s="1"/>
      <c r="D2" s="1"/>
      <c r="E2" s="1"/>
      <c r="F2" s="1"/>
      <c r="G2" s="1"/>
      <c r="H2" s="1"/>
    </row>
    <row r="3" spans="1:8" ht="21" customHeight="1" x14ac:dyDescent="0.25">
      <c r="A3" s="1" t="s">
        <v>224</v>
      </c>
      <c r="B3" s="1"/>
      <c r="C3" s="1"/>
      <c r="D3" s="1"/>
      <c r="E3" s="1"/>
      <c r="F3" s="1"/>
      <c r="G3" s="1"/>
      <c r="H3" s="1"/>
    </row>
    <row r="4" spans="1:8" ht="21" customHeight="1" x14ac:dyDescent="0.25">
      <c r="A4" s="1"/>
      <c r="B4" s="1"/>
      <c r="C4" s="1"/>
      <c r="D4" s="1"/>
      <c r="E4" s="1"/>
      <c r="F4" s="1"/>
      <c r="G4" s="1"/>
      <c r="H4" s="1"/>
    </row>
    <row r="5" spans="1:8" ht="21" customHeight="1" thickBot="1" x14ac:dyDescent="0.3">
      <c r="A5" s="1"/>
      <c r="B5" s="1"/>
      <c r="C5" s="1"/>
      <c r="D5" s="1"/>
      <c r="E5" s="1"/>
      <c r="F5" s="1"/>
      <c r="G5" s="1"/>
      <c r="H5" s="1"/>
    </row>
    <row r="6" spans="1:8" ht="21" customHeight="1" x14ac:dyDescent="0.25">
      <c r="A6" s="136"/>
      <c r="B6" s="60">
        <v>2019</v>
      </c>
      <c r="C6" s="139" t="s">
        <v>44</v>
      </c>
      <c r="D6" s="140"/>
      <c r="E6" s="141"/>
      <c r="F6" s="61">
        <v>2021</v>
      </c>
      <c r="G6" s="60">
        <v>2022</v>
      </c>
      <c r="H6" s="62">
        <v>2023</v>
      </c>
    </row>
    <row r="7" spans="1:8" ht="21" customHeight="1" x14ac:dyDescent="0.2">
      <c r="A7" s="137"/>
      <c r="B7" s="132" t="s">
        <v>1</v>
      </c>
      <c r="C7" s="132" t="s">
        <v>221</v>
      </c>
      <c r="D7" s="132" t="s">
        <v>2</v>
      </c>
      <c r="E7" s="132" t="s">
        <v>3</v>
      </c>
      <c r="F7" s="130" t="s">
        <v>4</v>
      </c>
      <c r="G7" s="132" t="s">
        <v>5</v>
      </c>
      <c r="H7" s="134" t="s">
        <v>5</v>
      </c>
    </row>
    <row r="8" spans="1:8" ht="21" customHeight="1" thickBot="1" x14ac:dyDescent="0.25">
      <c r="A8" s="138" t="s">
        <v>6</v>
      </c>
      <c r="B8" s="133"/>
      <c r="C8" s="133"/>
      <c r="D8" s="133"/>
      <c r="E8" s="133" t="s">
        <v>7</v>
      </c>
      <c r="F8" s="131"/>
      <c r="G8" s="133"/>
      <c r="H8" s="135"/>
    </row>
    <row r="9" spans="1:8" ht="21" customHeight="1" x14ac:dyDescent="0.2">
      <c r="A9" s="3"/>
      <c r="B9" s="4"/>
      <c r="C9" s="4"/>
      <c r="D9" s="4"/>
      <c r="E9" s="4"/>
      <c r="F9" s="4"/>
      <c r="G9" s="4"/>
      <c r="H9" s="5"/>
    </row>
    <row r="10" spans="1:8" s="7" customFormat="1" ht="21" customHeight="1" x14ac:dyDescent="0.2">
      <c r="A10" s="6" t="s">
        <v>42</v>
      </c>
      <c r="B10" s="4">
        <f>25104.49+9008.04+52593.97+8306.54+48543.86+905239.82+633.88+1411.31</f>
        <v>1050841.9099999999</v>
      </c>
      <c r="C10" s="4">
        <f>62079+29040+155298+921913+50000+6692</f>
        <v>1225022</v>
      </c>
      <c r="D10" s="4">
        <f>7501+4840+22205+218536+166666+561</f>
        <v>420309</v>
      </c>
      <c r="E10" s="4">
        <f>131.78+8858.67+262134.97+814.9-1411.31</f>
        <v>270529.01</v>
      </c>
      <c r="F10" s="4">
        <f>645168+29032.56+110654.33</f>
        <v>784854.89</v>
      </c>
      <c r="G10" s="4">
        <f>F10*1.1</f>
        <v>863340.37900000007</v>
      </c>
      <c r="H10" s="5">
        <f>G10*1.1</f>
        <v>949674.41690000019</v>
      </c>
    </row>
    <row r="11" spans="1:8" ht="21" customHeight="1" x14ac:dyDescent="0.2">
      <c r="A11" s="6" t="s">
        <v>8</v>
      </c>
      <c r="B11" s="4">
        <v>535.01</v>
      </c>
      <c r="C11" s="4">
        <v>203</v>
      </c>
      <c r="D11" s="4">
        <v>345</v>
      </c>
      <c r="E11" s="4">
        <v>214.12</v>
      </c>
      <c r="F11" s="4">
        <v>560</v>
      </c>
      <c r="G11" s="4">
        <f t="shared" ref="G11:H13" si="0">F11*1.1</f>
        <v>616</v>
      </c>
      <c r="H11" s="5">
        <f t="shared" si="0"/>
        <v>677.6</v>
      </c>
    </row>
    <row r="12" spans="1:8" ht="21" customHeight="1" x14ac:dyDescent="0.2">
      <c r="A12" s="8" t="s">
        <v>9</v>
      </c>
      <c r="B12" s="4"/>
      <c r="C12" s="4"/>
      <c r="D12" s="4"/>
      <c r="E12" s="4"/>
      <c r="F12" s="4"/>
      <c r="G12" s="4">
        <f t="shared" si="0"/>
        <v>0</v>
      </c>
      <c r="H12" s="5">
        <f t="shared" si="0"/>
        <v>0</v>
      </c>
    </row>
    <row r="13" spans="1:8" s="7" customFormat="1" ht="21" customHeight="1" x14ac:dyDescent="0.2">
      <c r="A13" s="8" t="s">
        <v>43</v>
      </c>
      <c r="B13" s="4">
        <f>9300000+1700000+500000.04</f>
        <v>11500000.039999999</v>
      </c>
      <c r="C13" s="4">
        <f>12000000+1700000+500000</f>
        <v>14200000</v>
      </c>
      <c r="D13" s="4">
        <v>6598460.3200000003</v>
      </c>
      <c r="E13" s="4">
        <f>6598460+166666.67</f>
        <v>6765126.6699999999</v>
      </c>
      <c r="F13" s="4">
        <v>8000000</v>
      </c>
      <c r="G13" s="4">
        <f t="shared" si="0"/>
        <v>8800000</v>
      </c>
      <c r="H13" s="5">
        <f t="shared" si="0"/>
        <v>9680000</v>
      </c>
    </row>
    <row r="14" spans="1:8" s="7" customFormat="1" ht="21" customHeight="1" thickBot="1" x14ac:dyDescent="0.25">
      <c r="A14" s="9"/>
      <c r="B14" s="10"/>
      <c r="C14" s="10"/>
      <c r="D14" s="10"/>
      <c r="E14" s="10"/>
      <c r="F14" s="10"/>
      <c r="G14" s="10"/>
      <c r="H14" s="11"/>
    </row>
    <row r="15" spans="1:8" ht="21" customHeight="1" thickBot="1" x14ac:dyDescent="0.3">
      <c r="A15" s="63" t="s">
        <v>10</v>
      </c>
      <c r="B15" s="13">
        <f t="shared" ref="B15:H15" si="1">SUM(B10:B14)</f>
        <v>12551376.959999999</v>
      </c>
      <c r="C15" s="13">
        <f t="shared" si="1"/>
        <v>15425225</v>
      </c>
      <c r="D15" s="13">
        <f t="shared" si="1"/>
        <v>7019114.3200000003</v>
      </c>
      <c r="E15" s="13">
        <f t="shared" si="1"/>
        <v>7035869.7999999998</v>
      </c>
      <c r="F15" s="13">
        <f t="shared" si="1"/>
        <v>8785414.8900000006</v>
      </c>
      <c r="G15" s="13">
        <f t="shared" si="1"/>
        <v>9663956.3790000007</v>
      </c>
      <c r="H15" s="64">
        <f t="shared" si="1"/>
        <v>10630352.016899999</v>
      </c>
    </row>
    <row r="16" spans="1:8" ht="21" customHeight="1" x14ac:dyDescent="0.2">
      <c r="A16" s="12"/>
      <c r="B16" s="4"/>
      <c r="C16" s="4"/>
      <c r="D16" s="4"/>
      <c r="E16" s="4"/>
      <c r="F16" s="4"/>
      <c r="G16" s="4"/>
      <c r="H16" s="5"/>
    </row>
    <row r="17" spans="1:8" ht="21" customHeight="1" x14ac:dyDescent="0.2">
      <c r="A17" s="12" t="s">
        <v>11</v>
      </c>
      <c r="B17" s="4">
        <f>986947.98</f>
        <v>986947.98</v>
      </c>
      <c r="C17" s="4">
        <v>1313040</v>
      </c>
      <c r="D17" s="4">
        <v>926857</v>
      </c>
      <c r="E17" s="4">
        <v>904932.15</v>
      </c>
      <c r="F17" s="4">
        <v>1351029</v>
      </c>
      <c r="G17" s="4">
        <f>F17*1.1</f>
        <v>1486131.9000000001</v>
      </c>
      <c r="H17" s="5">
        <f>G17*1.1</f>
        <v>1634745.0900000003</v>
      </c>
    </row>
    <row r="18" spans="1:8" ht="21" customHeight="1" x14ac:dyDescent="0.2">
      <c r="A18" s="12" t="s">
        <v>12</v>
      </c>
      <c r="B18" s="4">
        <v>68872.789999999994</v>
      </c>
      <c r="C18" s="4">
        <v>12516</v>
      </c>
      <c r="D18" s="4">
        <v>50788</v>
      </c>
      <c r="E18" s="4">
        <f>51331.79+16607.87</f>
        <v>67939.66</v>
      </c>
      <c r="F18" s="4">
        <v>14400</v>
      </c>
      <c r="G18" s="4">
        <f t="shared" ref="G18:H21" si="2">F18*1.1</f>
        <v>15840.000000000002</v>
      </c>
      <c r="H18" s="5">
        <f t="shared" si="2"/>
        <v>17424.000000000004</v>
      </c>
    </row>
    <row r="19" spans="1:8" ht="21" customHeight="1" x14ac:dyDescent="0.2">
      <c r="A19" s="12" t="s">
        <v>13</v>
      </c>
      <c r="B19" s="4">
        <f>5400+26850</f>
        <v>32250</v>
      </c>
      <c r="C19" s="4">
        <v>35400</v>
      </c>
      <c r="D19" s="4">
        <v>22300</v>
      </c>
      <c r="E19" s="4">
        <f>15885.52+1500+19600+1700</f>
        <v>38685.520000000004</v>
      </c>
      <c r="F19" s="4">
        <v>33600</v>
      </c>
      <c r="G19" s="4">
        <f t="shared" si="2"/>
        <v>36960</v>
      </c>
      <c r="H19" s="5">
        <f t="shared" si="2"/>
        <v>40656</v>
      </c>
    </row>
    <row r="20" spans="1:8" ht="21" customHeight="1" x14ac:dyDescent="0.2">
      <c r="A20" s="12" t="s">
        <v>14</v>
      </c>
      <c r="B20" s="4">
        <f>4984.69+21450.72</f>
        <v>26435.41</v>
      </c>
      <c r="C20" s="4">
        <v>39396</v>
      </c>
      <c r="D20" s="4">
        <v>24300</v>
      </c>
      <c r="E20" s="4">
        <f>21703.84+2054.73</f>
        <v>23758.57</v>
      </c>
      <c r="F20" s="4">
        <v>41267</v>
      </c>
      <c r="G20" s="4">
        <f t="shared" si="2"/>
        <v>45393.700000000004</v>
      </c>
      <c r="H20" s="5">
        <f t="shared" si="2"/>
        <v>49933.070000000007</v>
      </c>
    </row>
    <row r="21" spans="1:8" ht="21" customHeight="1" x14ac:dyDescent="0.2">
      <c r="A21" s="3" t="s">
        <v>45</v>
      </c>
      <c r="B21" s="4">
        <v>41966.76</v>
      </c>
      <c r="C21" s="4">
        <v>54960</v>
      </c>
      <c r="D21" s="4">
        <v>42063</v>
      </c>
      <c r="E21" s="4">
        <f>37004.88+3267.59</f>
        <v>40272.47</v>
      </c>
      <c r="F21" s="4">
        <v>56782</v>
      </c>
      <c r="G21" s="4">
        <f t="shared" si="2"/>
        <v>62460.200000000004</v>
      </c>
      <c r="H21" s="5">
        <f t="shared" si="2"/>
        <v>68706.220000000016</v>
      </c>
    </row>
    <row r="22" spans="1:8" ht="21" customHeight="1" thickBot="1" x14ac:dyDescent="0.25">
      <c r="A22" s="12" t="s">
        <v>46</v>
      </c>
      <c r="B22" s="4"/>
      <c r="C22" s="4"/>
      <c r="D22" s="4"/>
      <c r="E22" s="4"/>
      <c r="F22" s="4"/>
      <c r="G22" s="4"/>
      <c r="H22" s="5"/>
    </row>
    <row r="23" spans="1:8" ht="21" customHeight="1" thickBot="1" x14ac:dyDescent="0.3">
      <c r="A23" s="63" t="s">
        <v>15</v>
      </c>
      <c r="B23" s="13">
        <f t="shared" ref="B23:H23" si="3">SUM(B17:B22)</f>
        <v>1156472.94</v>
      </c>
      <c r="C23" s="13">
        <f t="shared" si="3"/>
        <v>1455312</v>
      </c>
      <c r="D23" s="13">
        <f t="shared" si="3"/>
        <v>1066308</v>
      </c>
      <c r="E23" s="13">
        <f t="shared" si="3"/>
        <v>1075588.3700000001</v>
      </c>
      <c r="F23" s="13">
        <f t="shared" si="3"/>
        <v>1497078</v>
      </c>
      <c r="G23" s="13">
        <f t="shared" si="3"/>
        <v>1646785.8</v>
      </c>
      <c r="H23" s="14">
        <f t="shared" si="3"/>
        <v>1811464.3800000004</v>
      </c>
    </row>
    <row r="24" spans="1:8" ht="21" customHeight="1" x14ac:dyDescent="0.2">
      <c r="A24" s="12" t="s">
        <v>16</v>
      </c>
      <c r="B24" s="4"/>
      <c r="C24" s="4"/>
      <c r="D24" s="4"/>
      <c r="E24" s="4"/>
      <c r="F24" s="4"/>
      <c r="G24" s="4"/>
      <c r="H24" s="5"/>
    </row>
    <row r="25" spans="1:8" ht="21" customHeight="1" x14ac:dyDescent="0.2">
      <c r="A25" s="12" t="s">
        <v>17</v>
      </c>
      <c r="B25" s="4">
        <v>400081.58</v>
      </c>
      <c r="C25" s="4">
        <v>480560</v>
      </c>
      <c r="D25" s="4">
        <v>123185</v>
      </c>
      <c r="E25" s="4">
        <v>138763.07999999999</v>
      </c>
      <c r="F25" s="4">
        <v>200000</v>
      </c>
      <c r="G25" s="4">
        <f>F25*1.1</f>
        <v>220000.00000000003</v>
      </c>
      <c r="H25" s="5">
        <f>G25*1.1</f>
        <v>242000.00000000006</v>
      </c>
    </row>
    <row r="26" spans="1:8" ht="21" customHeight="1" x14ac:dyDescent="0.2">
      <c r="A26" s="12" t="s">
        <v>18</v>
      </c>
      <c r="B26" s="4">
        <f>35541.83</f>
        <v>35541.83</v>
      </c>
      <c r="C26" s="4">
        <v>35687</v>
      </c>
      <c r="D26" s="4">
        <f>30488</f>
        <v>30488</v>
      </c>
      <c r="E26" s="4">
        <f>23721.74+2100</f>
        <v>25821.74</v>
      </c>
      <c r="F26" s="4">
        <v>36000</v>
      </c>
      <c r="G26" s="4">
        <f t="shared" ref="G26:H51" si="4">F26*1.1</f>
        <v>39600</v>
      </c>
      <c r="H26" s="5">
        <f t="shared" si="4"/>
        <v>43560</v>
      </c>
    </row>
    <row r="27" spans="1:8" ht="21" customHeight="1" x14ac:dyDescent="0.2">
      <c r="A27" s="3" t="s">
        <v>19</v>
      </c>
      <c r="B27" s="4">
        <v>29246.080000000002</v>
      </c>
      <c r="C27" s="4">
        <v>59708</v>
      </c>
      <c r="D27" s="4">
        <v>33160</v>
      </c>
      <c r="E27" s="4">
        <f>31751.14+2500</f>
        <v>34251.14</v>
      </c>
      <c r="F27" s="4">
        <v>45620</v>
      </c>
      <c r="G27" s="4">
        <f t="shared" si="4"/>
        <v>50182.000000000007</v>
      </c>
      <c r="H27" s="5">
        <f t="shared" si="4"/>
        <v>55200.200000000012</v>
      </c>
    </row>
    <row r="28" spans="1:8" ht="21" customHeight="1" x14ac:dyDescent="0.2">
      <c r="A28" s="12" t="s">
        <v>20</v>
      </c>
      <c r="B28" s="4">
        <v>37554.21</v>
      </c>
      <c r="C28" s="4">
        <f>1002441-660581-59708-36766-56500-16127-35687-20807-14134</f>
        <v>102131</v>
      </c>
      <c r="D28" s="4">
        <f>833345-30488-33160-553019-21775-6601-7978-14134-73924</f>
        <v>92266</v>
      </c>
      <c r="E28" s="4">
        <f>(760128.02-31751.14-560632.18-20976.54-14090.12-23550.33-23721.74-16352.67)+5000</f>
        <v>74053.299999999945</v>
      </c>
      <c r="F28" s="4">
        <f>807741-36000-45620-41507-73926-19284-20209-518167</f>
        <v>53028</v>
      </c>
      <c r="G28" s="4">
        <f t="shared" si="4"/>
        <v>58330.8</v>
      </c>
      <c r="H28" s="5">
        <f t="shared" si="4"/>
        <v>64163.880000000012</v>
      </c>
    </row>
    <row r="29" spans="1:8" ht="21" customHeight="1" x14ac:dyDescent="0.2">
      <c r="A29" s="3" t="s">
        <v>21</v>
      </c>
      <c r="B29" s="4"/>
      <c r="C29" s="4"/>
      <c r="D29" s="4"/>
      <c r="E29" s="4"/>
      <c r="F29" s="4"/>
      <c r="G29" s="4">
        <f t="shared" si="4"/>
        <v>0</v>
      </c>
      <c r="H29" s="5">
        <f t="shared" si="4"/>
        <v>0</v>
      </c>
    </row>
    <row r="30" spans="1:8" ht="21" customHeight="1" x14ac:dyDescent="0.2">
      <c r="A30" s="12" t="s">
        <v>22</v>
      </c>
      <c r="B30" s="4">
        <f>28656.31+31978.32</f>
        <v>60634.630000000005</v>
      </c>
      <c r="C30" s="4">
        <f>36766+20807</f>
        <v>57573</v>
      </c>
      <c r="D30" s="4">
        <f>7978+6601+21775</f>
        <v>36354</v>
      </c>
      <c r="E30" s="4">
        <f>20976.54+23550+1733.89</f>
        <v>46260.43</v>
      </c>
      <c r="F30" s="4">
        <f>22007+12000+7500</f>
        <v>41507</v>
      </c>
      <c r="G30" s="4">
        <f t="shared" si="4"/>
        <v>45657.700000000004</v>
      </c>
      <c r="H30" s="5">
        <f t="shared" si="4"/>
        <v>50223.470000000008</v>
      </c>
    </row>
    <row r="31" spans="1:8" ht="21" customHeight="1" x14ac:dyDescent="0.2">
      <c r="A31" s="12" t="s">
        <v>23</v>
      </c>
      <c r="B31" s="4"/>
      <c r="C31" s="4"/>
      <c r="D31" s="4">
        <v>7251</v>
      </c>
      <c r="E31" s="4"/>
      <c r="F31" s="4">
        <v>0</v>
      </c>
      <c r="G31" s="4">
        <f t="shared" si="4"/>
        <v>0</v>
      </c>
      <c r="H31" s="5">
        <f t="shared" si="4"/>
        <v>0</v>
      </c>
    </row>
    <row r="32" spans="1:8" ht="21" customHeight="1" x14ac:dyDescent="0.2">
      <c r="A32" s="12" t="s">
        <v>24</v>
      </c>
      <c r="B32" s="4"/>
      <c r="C32" s="4"/>
      <c r="D32" s="4"/>
      <c r="E32" s="4"/>
      <c r="F32" s="4"/>
      <c r="G32" s="4">
        <f t="shared" si="4"/>
        <v>0</v>
      </c>
      <c r="H32" s="5">
        <f t="shared" si="4"/>
        <v>0</v>
      </c>
    </row>
    <row r="33" spans="1:8" ht="21" customHeight="1" x14ac:dyDescent="0.2">
      <c r="A33" s="12" t="s">
        <v>25</v>
      </c>
      <c r="B33" s="4"/>
      <c r="C33" s="4">
        <v>32258</v>
      </c>
      <c r="D33" s="4"/>
      <c r="E33" s="4">
        <v>483.87</v>
      </c>
      <c r="F33" s="4">
        <v>45000</v>
      </c>
      <c r="G33" s="4">
        <f t="shared" si="4"/>
        <v>49500.000000000007</v>
      </c>
      <c r="H33" s="5">
        <f t="shared" si="4"/>
        <v>54450.000000000015</v>
      </c>
    </row>
    <row r="34" spans="1:8" ht="21" customHeight="1" x14ac:dyDescent="0.2">
      <c r="A34" s="12" t="s">
        <v>26</v>
      </c>
      <c r="B34" s="4">
        <f>128732.56+598073.63</f>
        <v>726806.19</v>
      </c>
      <c r="C34" s="4">
        <f>660581+123360</f>
        <v>783941</v>
      </c>
      <c r="D34" s="4">
        <v>553019</v>
      </c>
      <c r="E34" s="4">
        <f>560632.19+123356.16</f>
        <v>683988.35</v>
      </c>
      <c r="F34" s="4">
        <v>500000</v>
      </c>
      <c r="G34" s="4">
        <f t="shared" si="4"/>
        <v>550000</v>
      </c>
      <c r="H34" s="5">
        <f t="shared" si="4"/>
        <v>605000</v>
      </c>
    </row>
    <row r="35" spans="1:8" ht="21" customHeight="1" x14ac:dyDescent="0.2">
      <c r="A35" s="3" t="s">
        <v>27</v>
      </c>
      <c r="B35" s="4"/>
      <c r="C35" s="4"/>
      <c r="D35" s="4"/>
      <c r="E35" s="4"/>
      <c r="F35" s="4"/>
      <c r="G35" s="4">
        <f t="shared" si="4"/>
        <v>0</v>
      </c>
      <c r="H35" s="5">
        <f t="shared" si="4"/>
        <v>0</v>
      </c>
    </row>
    <row r="36" spans="1:8" ht="21" customHeight="1" x14ac:dyDescent="0.2">
      <c r="A36" s="12" t="s">
        <v>28</v>
      </c>
      <c r="B36" s="4">
        <f>14134.12</f>
        <v>14134.12</v>
      </c>
      <c r="C36" s="4">
        <v>14134</v>
      </c>
      <c r="D36" s="4">
        <v>14134</v>
      </c>
      <c r="E36" s="4">
        <v>14090.12</v>
      </c>
      <c r="F36" s="4">
        <f>20209</f>
        <v>20209</v>
      </c>
      <c r="G36" s="4">
        <f t="shared" si="4"/>
        <v>22229.9</v>
      </c>
      <c r="H36" s="5">
        <f t="shared" si="4"/>
        <v>24452.890000000003</v>
      </c>
    </row>
    <row r="37" spans="1:8" ht="21" customHeight="1" x14ac:dyDescent="0.2">
      <c r="A37" s="3" t="s">
        <v>29</v>
      </c>
      <c r="B37" s="4">
        <f>131282.92</f>
        <v>131282.92000000001</v>
      </c>
      <c r="C37" s="4">
        <f>136700</f>
        <v>136700</v>
      </c>
      <c r="D37" s="4">
        <f>14465+28114</f>
        <v>42579</v>
      </c>
      <c r="E37" s="4">
        <f>14465.39+30435+5000</f>
        <v>49900.39</v>
      </c>
      <c r="F37" s="4">
        <f>97547+32795</f>
        <v>130342</v>
      </c>
      <c r="G37" s="4">
        <f t="shared" si="4"/>
        <v>143376.20000000001</v>
      </c>
      <c r="H37" s="5">
        <f t="shared" si="4"/>
        <v>157713.82000000004</v>
      </c>
    </row>
    <row r="38" spans="1:8" ht="21" customHeight="1" x14ac:dyDescent="0.2">
      <c r="A38" s="12" t="s">
        <v>30</v>
      </c>
      <c r="B38" s="4">
        <v>73958.97</v>
      </c>
      <c r="C38" s="4">
        <f>138507</f>
        <v>138507</v>
      </c>
      <c r="D38" s="4">
        <f>40323+1480</f>
        <v>41803</v>
      </c>
      <c r="E38" s="4">
        <f>22090.36+80036.44+4500+675+672</f>
        <v>107973.8</v>
      </c>
      <c r="F38" s="4">
        <f>67205</f>
        <v>67205</v>
      </c>
      <c r="G38" s="4">
        <f t="shared" si="4"/>
        <v>73925.5</v>
      </c>
      <c r="H38" s="5">
        <f t="shared" si="4"/>
        <v>81318.05</v>
      </c>
    </row>
    <row r="39" spans="1:8" ht="21" customHeight="1" x14ac:dyDescent="0.2">
      <c r="A39" s="12" t="s">
        <v>31</v>
      </c>
      <c r="B39" s="4">
        <f>337085.5+121496.77</f>
        <v>458582.27</v>
      </c>
      <c r="C39" s="4">
        <f>763343+177421+148500+29594</f>
        <v>1118858</v>
      </c>
      <c r="D39" s="4">
        <f>240740+123650+136425</f>
        <v>500815</v>
      </c>
      <c r="E39" s="4">
        <f>223251.76+25909.86+37152.67+89382.65+3279.6</f>
        <v>378976.53999999992</v>
      </c>
      <c r="F39" s="4">
        <v>500000</v>
      </c>
      <c r="G39" s="4">
        <f t="shared" si="4"/>
        <v>550000</v>
      </c>
      <c r="H39" s="5">
        <f t="shared" si="4"/>
        <v>605000</v>
      </c>
    </row>
    <row r="40" spans="1:8" ht="21" customHeight="1" x14ac:dyDescent="0.25">
      <c r="A40" s="97" t="s">
        <v>109</v>
      </c>
      <c r="B40" s="4"/>
      <c r="C40" s="4"/>
      <c r="D40" s="4"/>
      <c r="E40" s="4"/>
      <c r="F40" s="4"/>
      <c r="G40" s="4">
        <f t="shared" si="4"/>
        <v>0</v>
      </c>
      <c r="H40" s="5">
        <f t="shared" si="4"/>
        <v>0</v>
      </c>
    </row>
    <row r="41" spans="1:8" ht="21" customHeight="1" x14ac:dyDescent="0.2">
      <c r="A41" s="12" t="s">
        <v>104</v>
      </c>
      <c r="B41" s="4">
        <f>2054163.87</f>
        <v>2054163.87</v>
      </c>
      <c r="C41" s="4">
        <v>6706363</v>
      </c>
      <c r="D41" s="98">
        <v>820337</v>
      </c>
      <c r="E41" s="4">
        <v>537357.56000000006</v>
      </c>
      <c r="F41" s="4">
        <f>1300000+553878+34677</f>
        <v>1888555</v>
      </c>
      <c r="G41" s="4">
        <f>(F41*1.1)+168512</f>
        <v>2245922.5</v>
      </c>
      <c r="H41" s="5">
        <f t="shared" si="4"/>
        <v>2470514.75</v>
      </c>
    </row>
    <row r="42" spans="1:8" ht="21" customHeight="1" x14ac:dyDescent="0.2">
      <c r="A42" s="12" t="s">
        <v>108</v>
      </c>
      <c r="B42" s="4">
        <v>2847979.24</v>
      </c>
      <c r="C42" s="4">
        <v>2868504</v>
      </c>
      <c r="D42" s="98">
        <v>2482535</v>
      </c>
      <c r="E42" s="129">
        <f>2410403.08+40323</f>
        <v>2450726.08</v>
      </c>
      <c r="F42" s="4">
        <v>1807157</v>
      </c>
      <c r="G42" s="4">
        <f t="shared" si="4"/>
        <v>1987872.7000000002</v>
      </c>
      <c r="H42" s="5">
        <f t="shared" si="4"/>
        <v>2186659.9700000002</v>
      </c>
    </row>
    <row r="43" spans="1:8" ht="21" customHeight="1" x14ac:dyDescent="0.2">
      <c r="A43" s="12" t="s">
        <v>105</v>
      </c>
      <c r="B43" s="4">
        <v>1774022.06</v>
      </c>
      <c r="C43" s="4">
        <v>1927155</v>
      </c>
      <c r="D43" s="98">
        <v>1011659</v>
      </c>
      <c r="E43" s="4">
        <f>1123657.42+42777.05</f>
        <v>1166434.47</v>
      </c>
      <c r="F43" s="4">
        <v>869805</v>
      </c>
      <c r="G43" s="4">
        <f t="shared" si="4"/>
        <v>956785.50000000012</v>
      </c>
      <c r="H43" s="5">
        <f t="shared" si="4"/>
        <v>1052464.0500000003</v>
      </c>
    </row>
    <row r="44" spans="1:8" ht="21" customHeight="1" x14ac:dyDescent="0.2">
      <c r="A44" s="12" t="s">
        <v>106</v>
      </c>
      <c r="B44" s="4">
        <f>160651.87+32017.18+2710+77210.42</f>
        <v>272589.46999999997</v>
      </c>
      <c r="C44" s="4">
        <f>1625187-450000</f>
        <v>1175187</v>
      </c>
      <c r="D44" s="98">
        <f>87447+4524</f>
        <v>91971</v>
      </c>
      <c r="E44" s="4">
        <v>8555.84</v>
      </c>
      <c r="F44" s="4">
        <v>200000</v>
      </c>
      <c r="G44" s="4">
        <f t="shared" si="4"/>
        <v>220000.00000000003</v>
      </c>
      <c r="H44" s="5">
        <f t="shared" si="4"/>
        <v>242000.00000000006</v>
      </c>
    </row>
    <row r="45" spans="1:8" ht="21" customHeight="1" x14ac:dyDescent="0.2">
      <c r="A45" s="12" t="s">
        <v>107</v>
      </c>
      <c r="B45" s="4">
        <v>190487.78</v>
      </c>
      <c r="C45" s="4">
        <v>177421</v>
      </c>
      <c r="D45" s="98">
        <v>167344</v>
      </c>
      <c r="E45" s="4">
        <f>120249.62+18817.4</f>
        <v>139067.01999999999</v>
      </c>
      <c r="F45" s="4">
        <v>177420</v>
      </c>
      <c r="G45" s="4">
        <f t="shared" si="4"/>
        <v>195162.00000000003</v>
      </c>
      <c r="H45" s="5">
        <f t="shared" si="4"/>
        <v>214678.20000000004</v>
      </c>
    </row>
    <row r="46" spans="1:8" ht="21" customHeight="1" x14ac:dyDescent="0.2">
      <c r="A46" s="12" t="s">
        <v>92</v>
      </c>
      <c r="B46" s="4">
        <f>280825.61+21505+10752.8+67204.99</f>
        <v>380288.39999999997</v>
      </c>
      <c r="C46" s="4">
        <v>450000</v>
      </c>
      <c r="D46" s="4">
        <v>56628</v>
      </c>
      <c r="E46" s="4">
        <f>14381.87+56627.9+225.01</f>
        <v>71234.78</v>
      </c>
      <c r="F46" s="4">
        <v>300000</v>
      </c>
      <c r="G46" s="4">
        <f t="shared" si="4"/>
        <v>330000</v>
      </c>
      <c r="H46" s="5">
        <f t="shared" si="4"/>
        <v>363000.00000000006</v>
      </c>
    </row>
    <row r="47" spans="1:8" ht="21" customHeight="1" x14ac:dyDescent="0.2">
      <c r="A47" s="3" t="s">
        <v>32</v>
      </c>
      <c r="B47" s="4">
        <v>0</v>
      </c>
      <c r="C47" s="4" t="s">
        <v>222</v>
      </c>
      <c r="D47" s="4">
        <v>73924</v>
      </c>
      <c r="E47" s="4"/>
      <c r="F47" s="4">
        <v>73926</v>
      </c>
      <c r="G47" s="4">
        <f t="shared" si="4"/>
        <v>81318.600000000006</v>
      </c>
      <c r="H47" s="5">
        <f t="shared" si="4"/>
        <v>89450.46</v>
      </c>
    </row>
    <row r="48" spans="1:8" ht="21" customHeight="1" x14ac:dyDescent="0.2">
      <c r="A48" s="12" t="s">
        <v>115</v>
      </c>
      <c r="B48" s="4">
        <v>71600.02</v>
      </c>
      <c r="C48" s="4">
        <v>83400</v>
      </c>
      <c r="D48" s="4">
        <v>66112</v>
      </c>
      <c r="E48" s="4">
        <f>58187.5+6000</f>
        <v>64187.5</v>
      </c>
      <c r="F48" s="4">
        <v>69000</v>
      </c>
      <c r="G48" s="4">
        <f t="shared" si="4"/>
        <v>75900</v>
      </c>
      <c r="H48" s="5">
        <f t="shared" si="4"/>
        <v>83490</v>
      </c>
    </row>
    <row r="49" spans="1:8" ht="21" customHeight="1" x14ac:dyDescent="0.2">
      <c r="A49" s="3" t="s">
        <v>33</v>
      </c>
      <c r="B49" s="4">
        <v>56155.7</v>
      </c>
      <c r="C49" s="4">
        <v>56500</v>
      </c>
      <c r="D49" s="4"/>
      <c r="E49" s="4">
        <v>57000</v>
      </c>
      <c r="F49" s="4"/>
      <c r="G49" s="4">
        <f t="shared" si="4"/>
        <v>0</v>
      </c>
      <c r="H49" s="5">
        <f t="shared" si="4"/>
        <v>0</v>
      </c>
    </row>
    <row r="50" spans="1:8" ht="21" customHeight="1" x14ac:dyDescent="0.2">
      <c r="A50" s="12" t="s">
        <v>34</v>
      </c>
      <c r="B50" s="4">
        <v>23720.57</v>
      </c>
      <c r="C50" s="4">
        <v>16127</v>
      </c>
      <c r="D50" s="4">
        <v>19284</v>
      </c>
      <c r="E50" s="4">
        <f>16352.67+2200</f>
        <v>18552.669999999998</v>
      </c>
      <c r="F50" s="4">
        <v>19284</v>
      </c>
      <c r="G50" s="4">
        <f t="shared" si="4"/>
        <v>21212.400000000001</v>
      </c>
      <c r="H50" s="5">
        <f t="shared" si="4"/>
        <v>23333.640000000003</v>
      </c>
    </row>
    <row r="51" spans="1:8" ht="21" customHeight="1" x14ac:dyDescent="0.2">
      <c r="A51" s="12" t="s">
        <v>35</v>
      </c>
      <c r="B51" s="4">
        <v>296376.90000000002</v>
      </c>
      <c r="C51" s="4">
        <v>300869</v>
      </c>
      <c r="D51" s="4">
        <v>180203</v>
      </c>
      <c r="E51" s="4">
        <f>17450.69+56780.62</f>
        <v>74231.31</v>
      </c>
      <c r="F51" s="4">
        <v>91086</v>
      </c>
      <c r="G51" s="4">
        <f t="shared" si="4"/>
        <v>100194.6</v>
      </c>
      <c r="H51" s="5">
        <f t="shared" si="4"/>
        <v>110214.06000000001</v>
      </c>
    </row>
    <row r="52" spans="1:8" ht="21" customHeight="1" thickBot="1" x14ac:dyDescent="0.3">
      <c r="A52" s="65" t="s">
        <v>36</v>
      </c>
      <c r="B52" s="66">
        <f t="shared" ref="B52:H52" si="5">SUM(B24:B51)</f>
        <v>9935206.8100000005</v>
      </c>
      <c r="C52" s="66">
        <f t="shared" si="5"/>
        <v>16721583</v>
      </c>
      <c r="D52" s="66">
        <f t="shared" si="5"/>
        <v>6445051</v>
      </c>
      <c r="E52" s="66">
        <f t="shared" si="5"/>
        <v>6141909.9899999993</v>
      </c>
      <c r="F52" s="66">
        <f t="shared" si="5"/>
        <v>7135144</v>
      </c>
      <c r="G52" s="66">
        <f t="shared" si="5"/>
        <v>8017170.4000000004</v>
      </c>
      <c r="H52" s="67">
        <f t="shared" si="5"/>
        <v>8818887.4400000051</v>
      </c>
    </row>
    <row r="53" spans="1:8" ht="21" customHeight="1" thickBot="1" x14ac:dyDescent="0.3">
      <c r="A53" s="68" t="s">
        <v>37</v>
      </c>
      <c r="B53" s="69">
        <f t="shared" ref="B53:H53" si="6">SUM(B52+B23)</f>
        <v>11091679.75</v>
      </c>
      <c r="C53" s="69">
        <f t="shared" si="6"/>
        <v>18176895</v>
      </c>
      <c r="D53" s="69">
        <f t="shared" si="6"/>
        <v>7511359</v>
      </c>
      <c r="E53" s="69">
        <f t="shared" si="6"/>
        <v>7217498.3599999994</v>
      </c>
      <c r="F53" s="69">
        <f t="shared" si="6"/>
        <v>8632222</v>
      </c>
      <c r="G53" s="69">
        <f t="shared" si="6"/>
        <v>9663956.2000000011</v>
      </c>
      <c r="H53" s="70">
        <f t="shared" si="6"/>
        <v>10630351.820000006</v>
      </c>
    </row>
    <row r="54" spans="1:8" s="15" customFormat="1" ht="33" customHeight="1" thickBot="1" x14ac:dyDescent="0.3">
      <c r="A54" s="71" t="s">
        <v>38</v>
      </c>
      <c r="B54" s="72">
        <f t="shared" ref="B54:H54" si="7">B15-B53</f>
        <v>1459697.209999999</v>
      </c>
      <c r="C54" s="72">
        <f t="shared" si="7"/>
        <v>-2751670</v>
      </c>
      <c r="D54" s="72">
        <f t="shared" si="7"/>
        <v>-492244.6799999997</v>
      </c>
      <c r="E54" s="72">
        <f t="shared" si="7"/>
        <v>-181628.55999999959</v>
      </c>
      <c r="F54" s="72">
        <f t="shared" si="7"/>
        <v>153192.8900000006</v>
      </c>
      <c r="G54" s="72">
        <f t="shared" si="7"/>
        <v>0.178999999538064</v>
      </c>
      <c r="H54" s="73">
        <f t="shared" si="7"/>
        <v>0.19689999334514141</v>
      </c>
    </row>
    <row r="55" spans="1:8" s="15" customFormat="1" ht="21" customHeight="1" thickBot="1" x14ac:dyDescent="0.3">
      <c r="A55" s="16" t="s">
        <v>39</v>
      </c>
      <c r="B55" s="17"/>
      <c r="C55" s="17"/>
      <c r="D55" s="17"/>
      <c r="E55" s="17"/>
      <c r="F55" s="17">
        <v>153193</v>
      </c>
      <c r="G55" s="17"/>
      <c r="H55" s="18"/>
    </row>
    <row r="56" spans="1:8" s="15" customFormat="1" ht="21" customHeight="1" thickBot="1" x14ac:dyDescent="0.3">
      <c r="A56" s="74" t="s">
        <v>40</v>
      </c>
      <c r="B56" s="72">
        <f t="shared" ref="B56:E56" si="8">B54-B55</f>
        <v>1459697.209999999</v>
      </c>
      <c r="C56" s="72">
        <f t="shared" si="8"/>
        <v>-2751670</v>
      </c>
      <c r="D56" s="72">
        <f t="shared" si="8"/>
        <v>-492244.6799999997</v>
      </c>
      <c r="E56" s="72">
        <f t="shared" si="8"/>
        <v>-181628.55999999959</v>
      </c>
      <c r="F56" s="72">
        <f>F54-F55</f>
        <v>-0.10999999940395355</v>
      </c>
      <c r="G56" s="72">
        <f t="shared" ref="G56:H56" si="9">G54-G55</f>
        <v>0.178999999538064</v>
      </c>
      <c r="H56" s="73">
        <f t="shared" si="9"/>
        <v>0.19689999334514141</v>
      </c>
    </row>
  </sheetData>
  <sheetProtection algorithmName="SHA-512" hashValue="BfXz5OUIv7pTwi4j/aOWwbHV5LLC5GNz5qmxoJ74OIaLHc/EIGLOh4MnJ+OpsACJiNzEwHNwjQj62Exj4DPjrw==" saltValue="+scufaYiCdKjgtyYGWiaFw==" spinCount="100000" sheet="1" formatCells="0" formatColumns="0" formatRows="0" insertColumns="0" insertRows="0" deleteColumns="0" deleteRows="0" autoFilter="0" pivotTables="0"/>
  <mergeCells count="9">
    <mergeCell ref="F7:F8"/>
    <mergeCell ref="G7:G8"/>
    <mergeCell ref="H7:H8"/>
    <mergeCell ref="A6:A8"/>
    <mergeCell ref="C6:E6"/>
    <mergeCell ref="B7:B8"/>
    <mergeCell ref="C7:C8"/>
    <mergeCell ref="D7:D8"/>
    <mergeCell ref="E7:E8"/>
  </mergeCells>
  <dataValidations count="1">
    <dataValidation type="textLength" allowBlank="1" showInputMessage="1" showErrorMessage="1" sqref="A3:B4 E3:E4">
      <formula1>4</formula1>
      <formula2>100</formula2>
    </dataValidation>
  </dataValidations>
  <pageMargins left="0.7" right="0.7" top="0.75" bottom="0.75" header="0.3" footer="0.3"/>
  <pageSetup scale="80"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
  <sheetViews>
    <sheetView topLeftCell="A19" workbookViewId="0">
      <selection activeCell="L27" sqref="L27"/>
    </sheetView>
  </sheetViews>
  <sheetFormatPr defaultRowHeight="15" x14ac:dyDescent="0.25"/>
  <cols>
    <col min="2" max="2" width="39.7109375" customWidth="1"/>
    <col min="3" max="3" width="34.85546875" customWidth="1"/>
    <col min="4" max="4" width="14.85546875" customWidth="1"/>
    <col min="5" max="5" width="15" customWidth="1"/>
    <col min="6" max="6" width="13.140625" customWidth="1"/>
    <col min="7" max="7" width="15.28515625" customWidth="1"/>
    <col min="8" max="8" width="10.42578125" customWidth="1"/>
  </cols>
  <sheetData>
    <row r="1" spans="1:7" ht="15.75" x14ac:dyDescent="0.25">
      <c r="A1" s="142" t="s">
        <v>53</v>
      </c>
      <c r="B1" s="142"/>
      <c r="C1" s="142"/>
      <c r="D1" s="142"/>
      <c r="E1" s="142"/>
      <c r="F1" s="142"/>
      <c r="G1" s="142"/>
    </row>
    <row r="2" spans="1:7" ht="15.75" x14ac:dyDescent="0.25">
      <c r="A2" s="143" t="s">
        <v>89</v>
      </c>
      <c r="B2" s="143"/>
      <c r="C2" s="143"/>
      <c r="D2" s="143"/>
      <c r="E2" s="143"/>
      <c r="F2" s="143"/>
      <c r="G2" s="143"/>
    </row>
    <row r="3" spans="1:7" ht="15.75" x14ac:dyDescent="0.25">
      <c r="A3" s="143" t="s">
        <v>93</v>
      </c>
      <c r="B3" s="143"/>
      <c r="C3" s="143"/>
      <c r="D3" s="143"/>
      <c r="E3" s="143"/>
      <c r="F3" s="143"/>
      <c r="G3" s="143"/>
    </row>
    <row r="4" spans="1:7" ht="16.5" thickBot="1" x14ac:dyDescent="0.3">
      <c r="A4" s="19"/>
      <c r="B4" s="19"/>
      <c r="C4" s="19"/>
      <c r="D4" s="19"/>
      <c r="E4" s="19"/>
      <c r="F4" s="19"/>
      <c r="G4" s="19"/>
    </row>
    <row r="5" spans="1:7" x14ac:dyDescent="0.25">
      <c r="A5" s="20"/>
      <c r="B5" s="21"/>
      <c r="C5" s="21"/>
      <c r="D5" s="144" t="s">
        <v>90</v>
      </c>
      <c r="E5" s="145"/>
      <c r="F5" s="144" t="s">
        <v>44</v>
      </c>
      <c r="G5" s="145"/>
    </row>
    <row r="6" spans="1:7" x14ac:dyDescent="0.25">
      <c r="A6" s="22"/>
      <c r="B6" s="23" t="s">
        <v>93</v>
      </c>
      <c r="C6" s="23" t="s">
        <v>91</v>
      </c>
      <c r="D6" s="24" t="s">
        <v>47</v>
      </c>
      <c r="E6" s="25" t="s">
        <v>48</v>
      </c>
      <c r="F6" s="24" t="s">
        <v>47</v>
      </c>
      <c r="G6" s="25" t="s">
        <v>48</v>
      </c>
    </row>
    <row r="7" spans="1:7" ht="15.75" thickBot="1" x14ac:dyDescent="0.3">
      <c r="A7" s="26"/>
      <c r="B7" s="27"/>
      <c r="C7" s="27"/>
      <c r="D7" s="28" t="s">
        <v>49</v>
      </c>
      <c r="E7" s="29" t="s">
        <v>50</v>
      </c>
      <c r="F7" s="28" t="s">
        <v>49</v>
      </c>
      <c r="G7" s="29" t="s">
        <v>50</v>
      </c>
    </row>
    <row r="8" spans="1:7" x14ac:dyDescent="0.25">
      <c r="A8" s="30"/>
      <c r="B8" s="79"/>
      <c r="C8" s="89"/>
      <c r="D8" s="84"/>
      <c r="E8" s="32"/>
      <c r="F8" s="31"/>
      <c r="G8" s="32"/>
    </row>
    <row r="9" spans="1:7" x14ac:dyDescent="0.25">
      <c r="A9" s="30"/>
      <c r="B9" s="99" t="s">
        <v>111</v>
      </c>
      <c r="C9" s="90">
        <v>1</v>
      </c>
      <c r="D9" s="84">
        <v>1</v>
      </c>
      <c r="E9" s="32">
        <f>12273*12</f>
        <v>147276</v>
      </c>
      <c r="F9" s="31"/>
      <c r="G9" s="32"/>
    </row>
    <row r="10" spans="1:7" x14ac:dyDescent="0.25">
      <c r="A10" s="30"/>
      <c r="B10" s="33" t="s">
        <v>94</v>
      </c>
      <c r="C10" s="90">
        <v>3</v>
      </c>
      <c r="D10" s="84">
        <v>1</v>
      </c>
      <c r="E10" s="32">
        <f>10784*12</f>
        <v>129408</v>
      </c>
      <c r="F10" s="31">
        <v>1</v>
      </c>
      <c r="G10" s="32">
        <v>129408</v>
      </c>
    </row>
    <row r="11" spans="1:7" x14ac:dyDescent="0.25">
      <c r="A11" s="30"/>
      <c r="B11" s="33" t="s">
        <v>95</v>
      </c>
      <c r="C11" s="90">
        <v>3</v>
      </c>
      <c r="D11" s="84">
        <v>1</v>
      </c>
      <c r="E11" s="32">
        <f>10260*12</f>
        <v>123120</v>
      </c>
      <c r="F11" s="31">
        <v>1</v>
      </c>
      <c r="G11" s="32">
        <v>102936</v>
      </c>
    </row>
    <row r="12" spans="1:7" x14ac:dyDescent="0.25">
      <c r="A12" s="30"/>
      <c r="B12" s="33" t="s">
        <v>110</v>
      </c>
      <c r="C12" s="90">
        <v>3</v>
      </c>
      <c r="D12" s="84">
        <v>1</v>
      </c>
      <c r="E12" s="32">
        <v>130704</v>
      </c>
      <c r="F12" s="31"/>
      <c r="G12" s="32"/>
    </row>
    <row r="13" spans="1:7" x14ac:dyDescent="0.25">
      <c r="A13" s="30"/>
      <c r="B13" s="33" t="s">
        <v>96</v>
      </c>
      <c r="C13" s="90">
        <v>6</v>
      </c>
      <c r="D13" s="84">
        <v>1</v>
      </c>
      <c r="E13" s="32">
        <v>116556</v>
      </c>
      <c r="F13" s="31">
        <v>1</v>
      </c>
      <c r="G13" s="32">
        <v>116556</v>
      </c>
    </row>
    <row r="14" spans="1:7" x14ac:dyDescent="0.25">
      <c r="A14" s="30"/>
      <c r="B14" s="48" t="s">
        <v>223</v>
      </c>
      <c r="C14" s="90">
        <v>6</v>
      </c>
      <c r="D14" s="84"/>
      <c r="E14" s="32"/>
      <c r="F14" s="31">
        <v>1</v>
      </c>
      <c r="G14" s="32">
        <v>102936</v>
      </c>
    </row>
    <row r="15" spans="1:7" x14ac:dyDescent="0.25">
      <c r="A15" s="30"/>
      <c r="B15" s="48" t="s">
        <v>97</v>
      </c>
      <c r="C15" s="91">
        <v>6</v>
      </c>
      <c r="D15" s="84">
        <v>1</v>
      </c>
      <c r="E15" s="32">
        <f>8578*12</f>
        <v>102936</v>
      </c>
      <c r="F15" s="31">
        <v>1</v>
      </c>
      <c r="G15" s="32">
        <v>102936</v>
      </c>
    </row>
    <row r="16" spans="1:7" x14ac:dyDescent="0.25">
      <c r="A16" s="30"/>
      <c r="B16" s="48" t="s">
        <v>98</v>
      </c>
      <c r="C16" s="91">
        <v>13</v>
      </c>
      <c r="D16" s="84">
        <v>1</v>
      </c>
      <c r="E16" s="32">
        <f>8491*12</f>
        <v>101892</v>
      </c>
      <c r="F16" s="31">
        <v>1</v>
      </c>
      <c r="G16" s="32">
        <v>101892</v>
      </c>
    </row>
    <row r="17" spans="1:8" x14ac:dyDescent="0.25">
      <c r="A17" s="30"/>
      <c r="B17" s="48" t="s">
        <v>99</v>
      </c>
      <c r="C17" s="91">
        <v>10</v>
      </c>
      <c r="D17" s="84">
        <v>1</v>
      </c>
      <c r="E17" s="32">
        <f>6239*12</f>
        <v>74868</v>
      </c>
      <c r="F17" s="31">
        <v>1</v>
      </c>
      <c r="G17" s="32">
        <v>74868</v>
      </c>
    </row>
    <row r="18" spans="1:8" x14ac:dyDescent="0.25">
      <c r="A18" s="30"/>
      <c r="B18" s="48" t="s">
        <v>100</v>
      </c>
      <c r="C18" s="90">
        <v>14</v>
      </c>
      <c r="D18" s="84">
        <v>2</v>
      </c>
      <c r="E18" s="32">
        <f>(4537+4232)*12</f>
        <v>105228</v>
      </c>
      <c r="F18" s="31">
        <v>2</v>
      </c>
      <c r="G18" s="32">
        <v>105228</v>
      </c>
      <c r="H18" s="34"/>
    </row>
    <row r="19" spans="1:8" x14ac:dyDescent="0.25">
      <c r="A19" s="30"/>
      <c r="B19" s="48" t="s">
        <v>101</v>
      </c>
      <c r="C19" s="90">
        <v>14</v>
      </c>
      <c r="D19" s="84">
        <v>1</v>
      </c>
      <c r="E19" s="32">
        <f>4537*12</f>
        <v>54444</v>
      </c>
      <c r="F19" s="31">
        <v>1</v>
      </c>
      <c r="G19" s="32">
        <v>48660</v>
      </c>
      <c r="H19" s="34"/>
    </row>
    <row r="20" spans="1:8" x14ac:dyDescent="0.25">
      <c r="A20" s="30"/>
      <c r="B20" s="48" t="s">
        <v>112</v>
      </c>
      <c r="C20" s="90">
        <v>14</v>
      </c>
      <c r="D20" s="84">
        <v>1</v>
      </c>
      <c r="E20" s="32">
        <f>7339*12</f>
        <v>88068</v>
      </c>
      <c r="F20" s="31">
        <v>1</v>
      </c>
      <c r="G20" s="32">
        <v>88068</v>
      </c>
      <c r="H20" s="34"/>
    </row>
    <row r="21" spans="1:8" x14ac:dyDescent="0.25">
      <c r="A21" s="30"/>
      <c r="B21" s="33" t="s">
        <v>103</v>
      </c>
      <c r="C21" s="90"/>
      <c r="D21" s="84">
        <v>1</v>
      </c>
      <c r="E21" s="32"/>
      <c r="F21" s="31">
        <v>1</v>
      </c>
      <c r="G21" s="32">
        <v>37066</v>
      </c>
      <c r="H21" s="34"/>
    </row>
    <row r="22" spans="1:8" x14ac:dyDescent="0.25">
      <c r="A22" s="30"/>
      <c r="B22" s="48" t="s">
        <v>113</v>
      </c>
      <c r="C22" s="90"/>
      <c r="D22" s="84">
        <v>4</v>
      </c>
      <c r="E22" s="32">
        <f>11627.16*12</f>
        <v>139525.91999999998</v>
      </c>
      <c r="F22" s="31">
        <v>4</v>
      </c>
      <c r="G22" s="32"/>
      <c r="H22" s="34"/>
    </row>
    <row r="23" spans="1:8" x14ac:dyDescent="0.25">
      <c r="A23" s="30"/>
      <c r="B23" s="48" t="s">
        <v>114</v>
      </c>
      <c r="C23" s="90"/>
      <c r="D23" s="84">
        <v>1</v>
      </c>
      <c r="E23" s="32">
        <f>3083.55*12</f>
        <v>37002.600000000006</v>
      </c>
      <c r="F23" s="31">
        <v>1</v>
      </c>
      <c r="G23" s="32"/>
      <c r="H23" s="34"/>
    </row>
    <row r="24" spans="1:8" x14ac:dyDescent="0.25">
      <c r="A24" s="30"/>
      <c r="B24" s="33"/>
      <c r="C24" s="90"/>
      <c r="D24" s="85"/>
      <c r="E24" s="36"/>
      <c r="F24" s="35"/>
      <c r="G24" s="36"/>
      <c r="H24" s="34"/>
    </row>
    <row r="25" spans="1:8" x14ac:dyDescent="0.25">
      <c r="A25" s="30"/>
      <c r="B25" s="33"/>
      <c r="C25" s="92"/>
      <c r="D25" s="86"/>
      <c r="E25" s="36"/>
      <c r="F25" s="37"/>
      <c r="G25" s="36"/>
      <c r="H25" s="34"/>
    </row>
    <row r="26" spans="1:8" x14ac:dyDescent="0.25">
      <c r="A26" s="30"/>
      <c r="B26" s="33"/>
      <c r="C26" s="90"/>
      <c r="D26" s="85"/>
      <c r="E26" s="36"/>
      <c r="F26" s="35"/>
      <c r="G26" s="36"/>
      <c r="H26" s="34"/>
    </row>
    <row r="27" spans="1:8" x14ac:dyDescent="0.25">
      <c r="A27" s="30"/>
      <c r="B27" s="79"/>
      <c r="C27" s="92"/>
      <c r="D27" s="84"/>
      <c r="E27" s="38"/>
      <c r="F27" s="31"/>
      <c r="G27" s="38"/>
    </row>
    <row r="28" spans="1:8" x14ac:dyDescent="0.25">
      <c r="A28" s="39"/>
      <c r="B28" s="80" t="s">
        <v>51</v>
      </c>
      <c r="C28" s="93"/>
      <c r="D28" s="87">
        <f>SUM(D8:D27)</f>
        <v>18</v>
      </c>
      <c r="E28" s="41">
        <f>SUM(E8:E27)</f>
        <v>1351028.52</v>
      </c>
      <c r="F28" s="40">
        <f>SUM(F8:F27)</f>
        <v>17</v>
      </c>
      <c r="G28" s="41">
        <f>SUM(G8:G27)</f>
        <v>1010554</v>
      </c>
    </row>
    <row r="29" spans="1:8" x14ac:dyDescent="0.25">
      <c r="A29" s="30"/>
      <c r="B29" s="79"/>
      <c r="C29" s="92"/>
      <c r="D29" s="84"/>
      <c r="E29" s="38"/>
      <c r="F29" s="31"/>
      <c r="G29" s="38"/>
    </row>
    <row r="30" spans="1:8" x14ac:dyDescent="0.25">
      <c r="A30" s="30"/>
      <c r="B30" s="81" t="s">
        <v>102</v>
      </c>
      <c r="C30" s="94"/>
      <c r="D30" s="85"/>
      <c r="E30" s="32">
        <f>1200*12</f>
        <v>14400</v>
      </c>
      <c r="F30" s="35">
        <v>1</v>
      </c>
      <c r="G30" s="32">
        <v>14400</v>
      </c>
    </row>
    <row r="31" spans="1:8" x14ac:dyDescent="0.25">
      <c r="A31" s="30"/>
      <c r="B31" s="81"/>
      <c r="C31" s="94"/>
      <c r="D31" s="85"/>
      <c r="E31" s="32"/>
      <c r="F31" s="35"/>
      <c r="G31" s="32"/>
    </row>
    <row r="32" spans="1:8" x14ac:dyDescent="0.25">
      <c r="A32" s="39"/>
      <c r="B32" s="82" t="s">
        <v>52</v>
      </c>
      <c r="C32" s="95"/>
      <c r="D32" s="87">
        <f>SUM(D29:D31)</f>
        <v>0</v>
      </c>
      <c r="E32" s="41">
        <f>SUM(E29:E31)</f>
        <v>14400</v>
      </c>
      <c r="F32" s="40">
        <f>SUM(F29:F31)</f>
        <v>1</v>
      </c>
      <c r="G32" s="41">
        <f>SUM(G29:G31)</f>
        <v>14400</v>
      </c>
    </row>
    <row r="33" spans="1:7" x14ac:dyDescent="0.25">
      <c r="A33" s="30"/>
      <c r="B33" s="79"/>
      <c r="C33" s="92"/>
      <c r="D33" s="84"/>
      <c r="E33" s="38"/>
      <c r="F33" s="31"/>
      <c r="G33" s="38"/>
    </row>
    <row r="34" spans="1:7" ht="15.75" thickBot="1" x14ac:dyDescent="0.3">
      <c r="A34" s="42"/>
      <c r="B34" s="83" t="str">
        <f>B6</f>
        <v>The Anguilla Tourist Board</v>
      </c>
      <c r="C34" s="96"/>
      <c r="D34" s="88">
        <f>+D32+D28</f>
        <v>18</v>
      </c>
      <c r="E34" s="44">
        <f>+E32+E28</f>
        <v>1365428.52</v>
      </c>
      <c r="F34" s="43">
        <f>+F32+F28</f>
        <v>18</v>
      </c>
      <c r="G34" s="44">
        <f>+G32+G28</f>
        <v>1024954</v>
      </c>
    </row>
    <row r="35" spans="1:7" x14ac:dyDescent="0.25">
      <c r="A35" s="45"/>
      <c r="B35" s="45"/>
      <c r="C35" s="45"/>
      <c r="D35" s="46"/>
      <c r="E35" s="47"/>
      <c r="F35" s="46"/>
      <c r="G35" s="47"/>
    </row>
  </sheetData>
  <sheetProtection algorithmName="SHA-512" hashValue="ccUbPYsJ0yEQaqEkuoFiacvJgB/0WRVcHLN0BXjvj77Mcl/f+KelT5RNPuxfDp/QY+xV7UQtQ14+ebt//Je2wg==" saltValue="o2V1/o7WgoCxQhXgZRbahA==" spinCount="100000" sheet="1" formatCells="0" formatColumns="0" formatRows="0" insertColumns="0" insertRows="0" insertHyperlinks="0" deleteColumns="0" deleteRows="0" autoFilter="0" pivotTables="0"/>
  <mergeCells count="5">
    <mergeCell ref="A1:G1"/>
    <mergeCell ref="A2:G2"/>
    <mergeCell ref="A3:G3"/>
    <mergeCell ref="D5:E5"/>
    <mergeCell ref="F5:G5"/>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3"/>
  <sheetViews>
    <sheetView tabSelected="1" topLeftCell="A61" workbookViewId="0">
      <selection activeCell="B11" sqref="B11:E11"/>
    </sheetView>
  </sheetViews>
  <sheetFormatPr defaultRowHeight="15" x14ac:dyDescent="0.25"/>
  <cols>
    <col min="1" max="1" width="9.28515625" style="59" bestFit="1" customWidth="1"/>
    <col min="2" max="3" width="9.140625" style="59"/>
    <col min="4" max="4" width="9.140625" style="59" customWidth="1"/>
    <col min="5" max="5" width="14.7109375" style="59" customWidth="1"/>
    <col min="6" max="6" width="12.5703125" style="59" customWidth="1"/>
    <col min="7" max="7" width="13.7109375" style="59" customWidth="1"/>
    <col min="8" max="8" width="11.28515625" style="59" bestFit="1" customWidth="1"/>
    <col min="9" max="9" width="14.5703125" style="59" customWidth="1"/>
    <col min="10" max="10" width="12.85546875" style="59" customWidth="1"/>
    <col min="11" max="12" width="14.5703125" style="59" customWidth="1"/>
  </cols>
  <sheetData>
    <row r="1" spans="1:14" s="33" customFormat="1" ht="15.75" x14ac:dyDescent="0.25">
      <c r="A1" s="192" t="s">
        <v>53</v>
      </c>
      <c r="B1" s="193"/>
      <c r="C1" s="193"/>
      <c r="D1" s="193"/>
      <c r="E1" s="193"/>
      <c r="F1" s="193"/>
      <c r="G1" s="193"/>
      <c r="H1" s="193"/>
      <c r="I1" s="193"/>
      <c r="J1" s="193"/>
      <c r="K1" s="193"/>
      <c r="L1" s="194"/>
    </row>
    <row r="2" spans="1:14" s="33" customFormat="1" ht="15.75" x14ac:dyDescent="0.25">
      <c r="A2" s="195" t="s">
        <v>86</v>
      </c>
      <c r="B2" s="143"/>
      <c r="C2" s="143"/>
      <c r="D2" s="143"/>
      <c r="E2" s="143"/>
      <c r="F2" s="143"/>
      <c r="G2" s="143"/>
      <c r="H2" s="143"/>
      <c r="I2" s="143"/>
      <c r="J2" s="143"/>
      <c r="K2" s="143"/>
      <c r="L2" s="196"/>
    </row>
    <row r="3" spans="1:14" ht="15" customHeight="1" x14ac:dyDescent="0.25">
      <c r="A3" s="195" t="s">
        <v>219</v>
      </c>
      <c r="B3" s="143"/>
      <c r="C3" s="143"/>
      <c r="D3" s="143"/>
      <c r="E3" s="143"/>
      <c r="F3" s="143"/>
      <c r="G3" s="143"/>
      <c r="H3" s="143"/>
      <c r="I3" s="143"/>
      <c r="J3" s="143"/>
      <c r="K3" s="143"/>
      <c r="L3" s="196"/>
    </row>
    <row r="4" spans="1:14" ht="15" customHeight="1" thickBot="1" x14ac:dyDescent="0.3">
      <c r="A4" s="111"/>
      <c r="B4" s="49"/>
      <c r="C4" s="50"/>
      <c r="D4" s="51"/>
      <c r="E4" s="51"/>
      <c r="F4" s="52"/>
      <c r="G4" s="52"/>
      <c r="H4" s="52"/>
      <c r="I4" s="52"/>
      <c r="J4" s="52"/>
      <c r="K4" s="52"/>
      <c r="L4" s="112"/>
    </row>
    <row r="5" spans="1:14" ht="15" customHeight="1" x14ac:dyDescent="0.25">
      <c r="A5" s="197" t="s">
        <v>54</v>
      </c>
      <c r="B5" s="198"/>
      <c r="C5" s="198"/>
      <c r="D5" s="198"/>
      <c r="E5" s="198"/>
      <c r="F5" s="198"/>
      <c r="G5" s="198"/>
      <c r="H5" s="198"/>
      <c r="I5" s="198"/>
      <c r="J5" s="198"/>
      <c r="K5" s="198"/>
      <c r="L5" s="199"/>
    </row>
    <row r="6" spans="1:14" ht="15" customHeight="1" x14ac:dyDescent="0.25">
      <c r="A6" s="200" t="s">
        <v>55</v>
      </c>
      <c r="B6" s="201"/>
      <c r="C6" s="201"/>
      <c r="D6" s="201"/>
      <c r="E6" s="201"/>
      <c r="F6" s="201"/>
      <c r="G6" s="201"/>
      <c r="H6" s="201"/>
      <c r="I6" s="201"/>
      <c r="J6" s="201"/>
      <c r="K6" s="201"/>
      <c r="L6" s="202"/>
    </row>
    <row r="7" spans="1:14" ht="39" customHeight="1" x14ac:dyDescent="0.25">
      <c r="A7" s="189" t="s">
        <v>218</v>
      </c>
      <c r="B7" s="190"/>
      <c r="C7" s="190"/>
      <c r="D7" s="190"/>
      <c r="E7" s="190"/>
      <c r="F7" s="190"/>
      <c r="G7" s="190"/>
      <c r="H7" s="190"/>
      <c r="I7" s="190"/>
      <c r="J7" s="190"/>
      <c r="K7" s="190"/>
      <c r="L7" s="191"/>
    </row>
    <row r="8" spans="1:14" ht="15" customHeight="1" x14ac:dyDescent="0.25">
      <c r="A8" s="203" t="s">
        <v>56</v>
      </c>
      <c r="B8" s="204"/>
      <c r="C8" s="204"/>
      <c r="D8" s="204"/>
      <c r="E8" s="204"/>
      <c r="F8" s="204"/>
      <c r="G8" s="204"/>
      <c r="H8" s="204"/>
      <c r="I8" s="204"/>
      <c r="J8" s="204"/>
      <c r="K8" s="204"/>
      <c r="L8" s="205"/>
    </row>
    <row r="9" spans="1:14" ht="15" customHeight="1" x14ac:dyDescent="0.25">
      <c r="A9" s="206" t="s">
        <v>220</v>
      </c>
      <c r="B9" s="207"/>
      <c r="C9" s="207"/>
      <c r="D9" s="207"/>
      <c r="E9" s="207"/>
      <c r="F9" s="207"/>
      <c r="G9" s="207"/>
      <c r="H9" s="207"/>
      <c r="I9" s="207"/>
      <c r="J9" s="207"/>
      <c r="K9" s="207"/>
      <c r="L9" s="208"/>
    </row>
    <row r="10" spans="1:14" ht="15" customHeight="1" x14ac:dyDescent="0.25">
      <c r="A10" s="209" t="s">
        <v>71</v>
      </c>
      <c r="B10" s="210"/>
      <c r="C10" s="210"/>
      <c r="D10" s="210"/>
      <c r="E10" s="210"/>
      <c r="F10" s="210"/>
      <c r="G10" s="210"/>
      <c r="H10" s="210"/>
      <c r="I10" s="210"/>
      <c r="J10" s="210"/>
      <c r="K10" s="210"/>
      <c r="L10" s="211"/>
    </row>
    <row r="11" spans="1:14" ht="44.25" customHeight="1" x14ac:dyDescent="0.25">
      <c r="A11" s="104"/>
      <c r="B11" s="212" t="s">
        <v>57</v>
      </c>
      <c r="C11" s="212"/>
      <c r="D11" s="212"/>
      <c r="E11" s="212"/>
      <c r="F11" s="105">
        <v>2019</v>
      </c>
      <c r="G11" s="105" t="s">
        <v>72</v>
      </c>
      <c r="H11" s="105" t="s">
        <v>73</v>
      </c>
      <c r="I11" s="105" t="s">
        <v>74</v>
      </c>
      <c r="J11" s="105" t="s">
        <v>75</v>
      </c>
      <c r="K11" s="105" t="s">
        <v>76</v>
      </c>
      <c r="L11" s="106" t="s">
        <v>77</v>
      </c>
    </row>
    <row r="12" spans="1:14" ht="15" customHeight="1" x14ac:dyDescent="0.25">
      <c r="A12" s="163" t="s">
        <v>58</v>
      </c>
      <c r="B12" s="164"/>
      <c r="C12" s="164"/>
      <c r="D12" s="164"/>
      <c r="E12" s="164"/>
      <c r="F12" s="53">
        <f>'Statutory Body Budget'!B53</f>
        <v>11091679.75</v>
      </c>
      <c r="G12" s="53">
        <f>'Statutory Body Budget'!C53</f>
        <v>18176895</v>
      </c>
      <c r="H12" s="53">
        <f>'Statutory Body Budget'!D53</f>
        <v>7511359</v>
      </c>
      <c r="I12" s="53">
        <f>'Statutory Body Budget'!E53</f>
        <v>7217498.3599999994</v>
      </c>
      <c r="J12" s="53">
        <f>'Statutory Body Budget'!F53</f>
        <v>8632222</v>
      </c>
      <c r="K12" s="53">
        <f>'Statutory Body Budget'!G53</f>
        <v>9663956.2000000011</v>
      </c>
      <c r="L12" s="75">
        <f>'Statutory Body Budget'!H53</f>
        <v>10630351.820000006</v>
      </c>
    </row>
    <row r="13" spans="1:14" ht="15" customHeight="1" x14ac:dyDescent="0.25">
      <c r="A13" s="163" t="s">
        <v>59</v>
      </c>
      <c r="B13" s="164"/>
      <c r="C13" s="164"/>
      <c r="D13" s="164"/>
      <c r="E13" s="164"/>
      <c r="F13" s="53">
        <f>'Statutory Body Budget'!B55</f>
        <v>0</v>
      </c>
      <c r="G13" s="53">
        <f>'Statutory Body Budget'!C55</f>
        <v>0</v>
      </c>
      <c r="H13" s="53">
        <f>'Statutory Body Budget'!D55</f>
        <v>0</v>
      </c>
      <c r="I13" s="53">
        <f>'Statutory Body Budget'!E55</f>
        <v>0</v>
      </c>
      <c r="J13" s="53">
        <f>'Statutory Body Budget'!F55</f>
        <v>153193</v>
      </c>
      <c r="K13" s="53">
        <f>'Statutory Body Budget'!G55</f>
        <v>0</v>
      </c>
      <c r="L13" s="54">
        <f>'Statutory Body Budget'!H55</f>
        <v>0</v>
      </c>
      <c r="M13" s="33"/>
      <c r="N13" s="33"/>
    </row>
    <row r="14" spans="1:14" ht="15" customHeight="1" x14ac:dyDescent="0.25">
      <c r="A14" s="213" t="s">
        <v>60</v>
      </c>
      <c r="B14" s="214"/>
      <c r="C14" s="214"/>
      <c r="D14" s="214"/>
      <c r="E14" s="214"/>
      <c r="F14" s="76">
        <f t="shared" ref="F14:L14" si="0">F12+F13</f>
        <v>11091679.75</v>
      </c>
      <c r="G14" s="76">
        <f t="shared" si="0"/>
        <v>18176895</v>
      </c>
      <c r="H14" s="76">
        <f t="shared" si="0"/>
        <v>7511359</v>
      </c>
      <c r="I14" s="76">
        <f t="shared" si="0"/>
        <v>7217498.3599999994</v>
      </c>
      <c r="J14" s="76">
        <f t="shared" si="0"/>
        <v>8785415</v>
      </c>
      <c r="K14" s="76">
        <f t="shared" si="0"/>
        <v>9663956.2000000011</v>
      </c>
      <c r="L14" s="77">
        <f t="shared" si="0"/>
        <v>10630351.820000006</v>
      </c>
    </row>
    <row r="15" spans="1:14" ht="15" customHeight="1" x14ac:dyDescent="0.25">
      <c r="A15" s="180" t="s">
        <v>61</v>
      </c>
      <c r="B15" s="181"/>
      <c r="C15" s="181"/>
      <c r="D15" s="181"/>
      <c r="E15" s="181"/>
      <c r="F15" s="181"/>
      <c r="G15" s="181"/>
      <c r="H15" s="181"/>
      <c r="I15" s="181"/>
      <c r="J15" s="181"/>
      <c r="K15" s="181"/>
      <c r="L15" s="182"/>
    </row>
    <row r="16" spans="1:14" ht="15" customHeight="1" x14ac:dyDescent="0.25">
      <c r="A16" s="183" t="s">
        <v>62</v>
      </c>
      <c r="B16" s="184"/>
      <c r="C16" s="184"/>
      <c r="D16" s="184"/>
      <c r="E16" s="184"/>
      <c r="F16" s="101"/>
      <c r="G16" s="101"/>
      <c r="H16" s="101">
        <v>3</v>
      </c>
      <c r="I16" s="101"/>
      <c r="J16" s="101">
        <v>5</v>
      </c>
      <c r="K16" s="101"/>
      <c r="L16" s="107"/>
    </row>
    <row r="17" spans="1:12" ht="15" customHeight="1" x14ac:dyDescent="0.25">
      <c r="A17" s="183" t="s">
        <v>63</v>
      </c>
      <c r="B17" s="184"/>
      <c r="C17" s="184"/>
      <c r="D17" s="184"/>
      <c r="E17" s="184"/>
      <c r="F17" s="101"/>
      <c r="G17" s="101"/>
      <c r="H17" s="101">
        <v>3</v>
      </c>
      <c r="I17" s="101"/>
      <c r="J17" s="101">
        <v>3</v>
      </c>
      <c r="K17" s="101"/>
      <c r="L17" s="107"/>
    </row>
    <row r="18" spans="1:12" ht="15" customHeight="1" x14ac:dyDescent="0.25">
      <c r="A18" s="183" t="s">
        <v>64</v>
      </c>
      <c r="B18" s="184"/>
      <c r="C18" s="184"/>
      <c r="D18" s="184"/>
      <c r="E18" s="184"/>
      <c r="F18" s="101"/>
      <c r="G18" s="101"/>
      <c r="H18" s="101">
        <v>4</v>
      </c>
      <c r="I18" s="101"/>
      <c r="J18" s="101">
        <v>3</v>
      </c>
      <c r="K18" s="101"/>
      <c r="L18" s="107"/>
    </row>
    <row r="19" spans="1:12" ht="15" customHeight="1" x14ac:dyDescent="0.25">
      <c r="A19" s="183" t="s">
        <v>65</v>
      </c>
      <c r="B19" s="184"/>
      <c r="C19" s="184"/>
      <c r="D19" s="184"/>
      <c r="E19" s="184"/>
      <c r="F19" s="101"/>
      <c r="G19" s="101"/>
      <c r="H19" s="101">
        <v>2</v>
      </c>
      <c r="I19" s="101"/>
      <c r="J19" s="101">
        <v>1</v>
      </c>
      <c r="K19" s="101"/>
      <c r="L19" s="107"/>
    </row>
    <row r="20" spans="1:12" ht="15" customHeight="1" x14ac:dyDescent="0.25">
      <c r="A20" s="156" t="s">
        <v>66</v>
      </c>
      <c r="B20" s="185"/>
      <c r="C20" s="185"/>
      <c r="D20" s="185"/>
      <c r="E20" s="185"/>
      <c r="F20" s="100">
        <f>SUM(F16:F19)</f>
        <v>0</v>
      </c>
      <c r="G20" s="100">
        <f t="shared" ref="G20:L20" si="1">SUM(G16:G19)</f>
        <v>0</v>
      </c>
      <c r="H20" s="100">
        <f t="shared" si="1"/>
        <v>12</v>
      </c>
      <c r="I20" s="100">
        <f t="shared" si="1"/>
        <v>0</v>
      </c>
      <c r="J20" s="100">
        <f t="shared" si="1"/>
        <v>12</v>
      </c>
      <c r="K20" s="100">
        <f t="shared" si="1"/>
        <v>0</v>
      </c>
      <c r="L20" s="78">
        <f t="shared" si="1"/>
        <v>0</v>
      </c>
    </row>
    <row r="21" spans="1:12" ht="15" customHeight="1" x14ac:dyDescent="0.25">
      <c r="A21" s="174" t="s">
        <v>67</v>
      </c>
      <c r="B21" s="175"/>
      <c r="C21" s="175"/>
      <c r="D21" s="175"/>
      <c r="E21" s="175"/>
      <c r="F21" s="175"/>
      <c r="G21" s="175"/>
      <c r="H21" s="175"/>
      <c r="I21" s="175"/>
      <c r="J21" s="175"/>
      <c r="K21" s="175"/>
      <c r="L21" s="176"/>
    </row>
    <row r="22" spans="1:12" ht="15" customHeight="1" x14ac:dyDescent="0.25">
      <c r="A22" s="177" t="s">
        <v>87</v>
      </c>
      <c r="B22" s="178"/>
      <c r="C22" s="178"/>
      <c r="D22" s="178"/>
      <c r="E22" s="178"/>
      <c r="F22" s="178"/>
      <c r="G22" s="178" t="s">
        <v>88</v>
      </c>
      <c r="H22" s="178"/>
      <c r="I22" s="178"/>
      <c r="J22" s="178"/>
      <c r="K22" s="178"/>
      <c r="L22" s="179"/>
    </row>
    <row r="23" spans="1:12" ht="38.25" customHeight="1" x14ac:dyDescent="0.25">
      <c r="A23" s="166"/>
      <c r="B23" s="167"/>
      <c r="C23" s="167"/>
      <c r="D23" s="167"/>
      <c r="E23" s="167"/>
      <c r="F23" s="215"/>
      <c r="G23" s="216"/>
      <c r="H23" s="167"/>
      <c r="I23" s="167"/>
      <c r="J23" s="167"/>
      <c r="K23" s="167"/>
      <c r="L23" s="168"/>
    </row>
    <row r="24" spans="1:12" ht="15" customHeight="1" x14ac:dyDescent="0.25">
      <c r="A24" s="180" t="s">
        <v>78</v>
      </c>
      <c r="B24" s="217"/>
      <c r="C24" s="217"/>
      <c r="D24" s="217"/>
      <c r="E24" s="217"/>
      <c r="F24" s="217"/>
      <c r="G24" s="217"/>
      <c r="H24" s="217"/>
      <c r="I24" s="217"/>
      <c r="J24" s="217"/>
      <c r="K24" s="217"/>
      <c r="L24" s="218"/>
    </row>
    <row r="25" spans="1:12" ht="28.5" customHeight="1" x14ac:dyDescent="0.25">
      <c r="A25" s="186" t="s">
        <v>116</v>
      </c>
      <c r="B25" s="187"/>
      <c r="C25" s="187"/>
      <c r="D25" s="187"/>
      <c r="E25" s="187"/>
      <c r="F25" s="187"/>
      <c r="G25" s="187"/>
      <c r="H25" s="187"/>
      <c r="I25" s="187"/>
      <c r="J25" s="187"/>
      <c r="K25" s="187"/>
      <c r="L25" s="188"/>
    </row>
    <row r="26" spans="1:12" ht="28.5" customHeight="1" x14ac:dyDescent="0.25">
      <c r="A26" s="163" t="s">
        <v>117</v>
      </c>
      <c r="B26" s="164"/>
      <c r="C26" s="164"/>
      <c r="D26" s="164"/>
      <c r="E26" s="164"/>
      <c r="F26" s="164"/>
      <c r="G26" s="164"/>
      <c r="H26" s="164"/>
      <c r="I26" s="164"/>
      <c r="J26" s="164"/>
      <c r="K26" s="164"/>
      <c r="L26" s="165"/>
    </row>
    <row r="27" spans="1:12" ht="28.5" customHeight="1" x14ac:dyDescent="0.25">
      <c r="A27" s="163" t="s">
        <v>118</v>
      </c>
      <c r="B27" s="164"/>
      <c r="C27" s="164"/>
      <c r="D27" s="164"/>
      <c r="E27" s="164"/>
      <c r="F27" s="164"/>
      <c r="G27" s="164"/>
      <c r="H27" s="164"/>
      <c r="I27" s="164"/>
      <c r="J27" s="164"/>
      <c r="K27" s="164"/>
      <c r="L27" s="165"/>
    </row>
    <row r="28" spans="1:12" ht="28.5" customHeight="1" x14ac:dyDescent="0.25">
      <c r="A28" s="163" t="s">
        <v>119</v>
      </c>
      <c r="B28" s="164"/>
      <c r="C28" s="164"/>
      <c r="D28" s="164"/>
      <c r="E28" s="164"/>
      <c r="F28" s="164"/>
      <c r="G28" s="164"/>
      <c r="H28" s="164"/>
      <c r="I28" s="164"/>
      <c r="J28" s="164"/>
      <c r="K28" s="164"/>
      <c r="L28" s="165"/>
    </row>
    <row r="29" spans="1:12" ht="28.5" customHeight="1" x14ac:dyDescent="0.25">
      <c r="A29" s="163" t="s">
        <v>120</v>
      </c>
      <c r="B29" s="164"/>
      <c r="C29" s="164"/>
      <c r="D29" s="164"/>
      <c r="E29" s="164"/>
      <c r="F29" s="164"/>
      <c r="G29" s="164"/>
      <c r="H29" s="164"/>
      <c r="I29" s="164"/>
      <c r="J29" s="164"/>
      <c r="K29" s="164"/>
      <c r="L29" s="165"/>
    </row>
    <row r="30" spans="1:12" ht="28.5" customHeight="1" x14ac:dyDescent="0.25">
      <c r="A30" s="163" t="s">
        <v>121</v>
      </c>
      <c r="B30" s="164"/>
      <c r="C30" s="164"/>
      <c r="D30" s="164"/>
      <c r="E30" s="164"/>
      <c r="F30" s="164"/>
      <c r="G30" s="164"/>
      <c r="H30" s="164"/>
      <c r="I30" s="164"/>
      <c r="J30" s="164"/>
      <c r="K30" s="164"/>
      <c r="L30" s="165"/>
    </row>
    <row r="31" spans="1:12" ht="28.5" customHeight="1" x14ac:dyDescent="0.25">
      <c r="A31" s="163" t="s">
        <v>122</v>
      </c>
      <c r="B31" s="164"/>
      <c r="C31" s="164"/>
      <c r="D31" s="164"/>
      <c r="E31" s="164"/>
      <c r="F31" s="164"/>
      <c r="G31" s="164"/>
      <c r="H31" s="164"/>
      <c r="I31" s="164"/>
      <c r="J31" s="164"/>
      <c r="K31" s="164"/>
      <c r="L31" s="165"/>
    </row>
    <row r="32" spans="1:12" ht="28.5" customHeight="1" x14ac:dyDescent="0.25">
      <c r="A32" s="163" t="s">
        <v>123</v>
      </c>
      <c r="B32" s="164"/>
      <c r="C32" s="164"/>
      <c r="D32" s="164"/>
      <c r="E32" s="164"/>
      <c r="F32" s="164"/>
      <c r="G32" s="164"/>
      <c r="H32" s="164"/>
      <c r="I32" s="164"/>
      <c r="J32" s="164"/>
      <c r="K32" s="164"/>
      <c r="L32" s="165"/>
    </row>
    <row r="33" spans="1:12" ht="28.5" customHeight="1" x14ac:dyDescent="0.25">
      <c r="A33" s="163" t="s">
        <v>124</v>
      </c>
      <c r="B33" s="164"/>
      <c r="C33" s="164"/>
      <c r="D33" s="164"/>
      <c r="E33" s="164"/>
      <c r="F33" s="164"/>
      <c r="G33" s="164"/>
      <c r="H33" s="164"/>
      <c r="I33" s="164"/>
      <c r="J33" s="164"/>
      <c r="K33" s="164"/>
      <c r="L33" s="165"/>
    </row>
    <row r="34" spans="1:12" ht="28.5" customHeight="1" x14ac:dyDescent="0.25">
      <c r="A34" s="163" t="s">
        <v>125</v>
      </c>
      <c r="B34" s="164"/>
      <c r="C34" s="164"/>
      <c r="D34" s="164"/>
      <c r="E34" s="164"/>
      <c r="F34" s="164"/>
      <c r="G34" s="164"/>
      <c r="H34" s="164"/>
      <c r="I34" s="164"/>
      <c r="J34" s="164"/>
      <c r="K34" s="164"/>
      <c r="L34" s="165"/>
    </row>
    <row r="35" spans="1:12" ht="28.5" customHeight="1" x14ac:dyDescent="0.25">
      <c r="A35" s="163" t="s">
        <v>126</v>
      </c>
      <c r="B35" s="164"/>
      <c r="C35" s="164"/>
      <c r="D35" s="164"/>
      <c r="E35" s="164"/>
      <c r="F35" s="164"/>
      <c r="G35" s="164"/>
      <c r="H35" s="164"/>
      <c r="I35" s="164"/>
      <c r="J35" s="164"/>
      <c r="K35" s="164"/>
      <c r="L35" s="165"/>
    </row>
    <row r="36" spans="1:12" ht="28.5" customHeight="1" x14ac:dyDescent="0.25">
      <c r="A36" s="163" t="s">
        <v>127</v>
      </c>
      <c r="B36" s="164"/>
      <c r="C36" s="164"/>
      <c r="D36" s="164"/>
      <c r="E36" s="164"/>
      <c r="F36" s="164"/>
      <c r="G36" s="164"/>
      <c r="H36" s="164"/>
      <c r="I36" s="164"/>
      <c r="J36" s="164"/>
      <c r="K36" s="164"/>
      <c r="L36" s="165"/>
    </row>
    <row r="37" spans="1:12" ht="28.5" customHeight="1" x14ac:dyDescent="0.25">
      <c r="A37" s="163" t="s">
        <v>128</v>
      </c>
      <c r="B37" s="164"/>
      <c r="C37" s="164"/>
      <c r="D37" s="164"/>
      <c r="E37" s="164"/>
      <c r="F37" s="164"/>
      <c r="G37" s="164"/>
      <c r="H37" s="164"/>
      <c r="I37" s="164"/>
      <c r="J37" s="164"/>
      <c r="K37" s="164"/>
      <c r="L37" s="165"/>
    </row>
    <row r="38" spans="1:12" ht="28.5" customHeight="1" x14ac:dyDescent="0.25">
      <c r="A38" s="163" t="s">
        <v>129</v>
      </c>
      <c r="B38" s="164"/>
      <c r="C38" s="164"/>
      <c r="D38" s="164"/>
      <c r="E38" s="164"/>
      <c r="F38" s="164"/>
      <c r="G38" s="164"/>
      <c r="H38" s="164"/>
      <c r="I38" s="164"/>
      <c r="J38" s="164"/>
      <c r="K38" s="164"/>
      <c r="L38" s="165"/>
    </row>
    <row r="39" spans="1:12" ht="28.5" customHeight="1" x14ac:dyDescent="0.25">
      <c r="A39" s="163" t="s">
        <v>130</v>
      </c>
      <c r="B39" s="164"/>
      <c r="C39" s="164"/>
      <c r="D39" s="164"/>
      <c r="E39" s="164"/>
      <c r="F39" s="164"/>
      <c r="G39" s="164"/>
      <c r="H39" s="164"/>
      <c r="I39" s="164"/>
      <c r="J39" s="164"/>
      <c r="K39" s="164"/>
      <c r="L39" s="165"/>
    </row>
    <row r="40" spans="1:12" ht="28.5" customHeight="1" x14ac:dyDescent="0.25">
      <c r="A40" s="163" t="s">
        <v>131</v>
      </c>
      <c r="B40" s="164"/>
      <c r="C40" s="164"/>
      <c r="D40" s="164"/>
      <c r="E40" s="164"/>
      <c r="F40" s="164"/>
      <c r="G40" s="164"/>
      <c r="H40" s="164"/>
      <c r="I40" s="164"/>
      <c r="J40" s="164"/>
      <c r="K40" s="164"/>
      <c r="L40" s="165"/>
    </row>
    <row r="41" spans="1:12" ht="28.5" customHeight="1" x14ac:dyDescent="0.25">
      <c r="A41" s="163" t="s">
        <v>135</v>
      </c>
      <c r="B41" s="164"/>
      <c r="C41" s="164"/>
      <c r="D41" s="164"/>
      <c r="E41" s="164"/>
      <c r="F41" s="164"/>
      <c r="G41" s="164"/>
      <c r="H41" s="164"/>
      <c r="I41" s="164"/>
      <c r="J41" s="164"/>
      <c r="K41" s="164"/>
      <c r="L41" s="165"/>
    </row>
    <row r="42" spans="1:12" ht="28.5" customHeight="1" x14ac:dyDescent="0.25">
      <c r="A42" s="163" t="s">
        <v>136</v>
      </c>
      <c r="B42" s="164"/>
      <c r="C42" s="164"/>
      <c r="D42" s="164"/>
      <c r="E42" s="164"/>
      <c r="F42" s="164"/>
      <c r="G42" s="164"/>
      <c r="H42" s="164"/>
      <c r="I42" s="164"/>
      <c r="J42" s="164"/>
      <c r="K42" s="164"/>
      <c r="L42" s="165"/>
    </row>
    <row r="43" spans="1:12" ht="28.5" customHeight="1" x14ac:dyDescent="0.25">
      <c r="A43" s="163" t="s">
        <v>132</v>
      </c>
      <c r="B43" s="164"/>
      <c r="C43" s="164"/>
      <c r="D43" s="164"/>
      <c r="E43" s="164"/>
      <c r="F43" s="164"/>
      <c r="G43" s="164"/>
      <c r="H43" s="164"/>
      <c r="I43" s="164"/>
      <c r="J43" s="164"/>
      <c r="K43" s="164"/>
      <c r="L43" s="165"/>
    </row>
    <row r="44" spans="1:12" ht="16.5" customHeight="1" x14ac:dyDescent="0.25">
      <c r="A44" s="163" t="s">
        <v>133</v>
      </c>
      <c r="B44" s="164"/>
      <c r="C44" s="164"/>
      <c r="D44" s="164"/>
      <c r="E44" s="164"/>
      <c r="F44" s="164"/>
      <c r="G44" s="164"/>
      <c r="H44" s="164"/>
      <c r="I44" s="164"/>
      <c r="J44" s="164"/>
      <c r="K44" s="164"/>
      <c r="L44" s="165"/>
    </row>
    <row r="45" spans="1:12" ht="30" customHeight="1" x14ac:dyDescent="0.25">
      <c r="A45" s="166" t="s">
        <v>134</v>
      </c>
      <c r="B45" s="167"/>
      <c r="C45" s="167"/>
      <c r="D45" s="167"/>
      <c r="E45" s="167"/>
      <c r="F45" s="167"/>
      <c r="G45" s="167"/>
      <c r="H45" s="167"/>
      <c r="I45" s="167"/>
      <c r="J45" s="167"/>
      <c r="K45" s="167"/>
      <c r="L45" s="168"/>
    </row>
    <row r="46" spans="1:12" ht="28.5" customHeight="1" x14ac:dyDescent="0.25">
      <c r="A46" s="169" t="s">
        <v>68</v>
      </c>
      <c r="B46" s="170"/>
      <c r="C46" s="170"/>
      <c r="D46" s="170"/>
      <c r="E46" s="170"/>
      <c r="F46" s="102" t="s">
        <v>79</v>
      </c>
      <c r="G46" s="102" t="s">
        <v>80</v>
      </c>
      <c r="H46" s="102" t="s">
        <v>81</v>
      </c>
      <c r="I46" s="102" t="s">
        <v>82</v>
      </c>
      <c r="J46" s="102" t="s">
        <v>83</v>
      </c>
      <c r="K46" s="102" t="s">
        <v>84</v>
      </c>
      <c r="L46" s="103" t="s">
        <v>85</v>
      </c>
    </row>
    <row r="47" spans="1:12" ht="15" customHeight="1" x14ac:dyDescent="0.25">
      <c r="A47" s="171" t="s">
        <v>69</v>
      </c>
      <c r="B47" s="172"/>
      <c r="C47" s="172"/>
      <c r="D47" s="172"/>
      <c r="E47" s="172"/>
      <c r="F47" s="172"/>
      <c r="G47" s="172"/>
      <c r="H47" s="172"/>
      <c r="I47" s="172"/>
      <c r="J47" s="172"/>
      <c r="K47" s="172"/>
      <c r="L47" s="173"/>
    </row>
    <row r="48" spans="1:12" ht="15" customHeight="1" x14ac:dyDescent="0.25">
      <c r="A48" s="148" t="s">
        <v>148</v>
      </c>
      <c r="B48" s="149"/>
      <c r="C48" s="149"/>
      <c r="D48" s="149"/>
      <c r="E48" s="149"/>
      <c r="F48" s="117"/>
      <c r="G48" s="117"/>
      <c r="H48" s="117"/>
      <c r="I48" s="117"/>
      <c r="J48" s="117"/>
      <c r="K48" s="117"/>
      <c r="L48" s="113"/>
    </row>
    <row r="49" spans="1:12" ht="29.1" customHeight="1" x14ac:dyDescent="0.25">
      <c r="A49" s="146" t="s">
        <v>149</v>
      </c>
      <c r="B49" s="147"/>
      <c r="C49" s="147"/>
      <c r="D49" s="147"/>
      <c r="E49" s="147"/>
      <c r="F49" s="120">
        <v>200</v>
      </c>
      <c r="G49" s="116">
        <v>230</v>
      </c>
      <c r="H49" s="116">
        <v>200</v>
      </c>
      <c r="I49" s="116"/>
      <c r="J49" s="116">
        <v>260</v>
      </c>
      <c r="K49" s="116">
        <v>260</v>
      </c>
      <c r="L49" s="114">
        <v>260</v>
      </c>
    </row>
    <row r="50" spans="1:12" ht="24.95" customHeight="1" x14ac:dyDescent="0.25">
      <c r="A50" s="146" t="s">
        <v>150</v>
      </c>
      <c r="B50" s="147"/>
      <c r="C50" s="147"/>
      <c r="D50" s="147"/>
      <c r="E50" s="147"/>
      <c r="F50" s="121">
        <v>48</v>
      </c>
      <c r="G50" s="116">
        <v>30</v>
      </c>
      <c r="H50" s="116">
        <v>30</v>
      </c>
      <c r="I50" s="116"/>
      <c r="J50" s="116">
        <v>25</v>
      </c>
      <c r="K50" s="116">
        <v>25</v>
      </c>
      <c r="L50" s="114">
        <v>25</v>
      </c>
    </row>
    <row r="51" spans="1:12" ht="29.45" customHeight="1" x14ac:dyDescent="0.25">
      <c r="A51" s="146" t="s">
        <v>151</v>
      </c>
      <c r="B51" s="147"/>
      <c r="C51" s="147"/>
      <c r="D51" s="147"/>
      <c r="E51" s="147"/>
      <c r="F51" s="121">
        <v>10</v>
      </c>
      <c r="G51" s="116">
        <v>12</v>
      </c>
      <c r="H51" s="116">
        <v>12</v>
      </c>
      <c r="I51" s="116"/>
      <c r="J51" s="116">
        <v>12</v>
      </c>
      <c r="K51" s="116">
        <v>12</v>
      </c>
      <c r="L51" s="114">
        <v>12</v>
      </c>
    </row>
    <row r="52" spans="1:12" ht="15" customHeight="1" x14ac:dyDescent="0.25">
      <c r="A52" s="148" t="s">
        <v>152</v>
      </c>
      <c r="B52" s="149"/>
      <c r="C52" s="149"/>
      <c r="D52" s="149"/>
      <c r="E52" s="149"/>
      <c r="F52" s="122"/>
      <c r="G52" s="117"/>
      <c r="H52" s="117"/>
      <c r="I52" s="117"/>
      <c r="J52" s="117"/>
      <c r="K52" s="117"/>
      <c r="L52" s="113"/>
    </row>
    <row r="53" spans="1:12" ht="37.5" customHeight="1" x14ac:dyDescent="0.25">
      <c r="A53" s="146" t="s">
        <v>153</v>
      </c>
      <c r="B53" s="147"/>
      <c r="C53" s="147"/>
      <c r="D53" s="147"/>
      <c r="E53" s="147"/>
      <c r="F53" s="121">
        <v>12</v>
      </c>
      <c r="G53" s="116">
        <v>12</v>
      </c>
      <c r="H53" s="116">
        <v>12</v>
      </c>
      <c r="I53" s="116"/>
      <c r="J53" s="116">
        <v>12</v>
      </c>
      <c r="K53" s="116">
        <v>12</v>
      </c>
      <c r="L53" s="114">
        <v>12</v>
      </c>
    </row>
    <row r="54" spans="1:12" ht="37.5" customHeight="1" x14ac:dyDescent="0.25">
      <c r="A54" s="146" t="s">
        <v>154</v>
      </c>
      <c r="B54" s="147"/>
      <c r="C54" s="147"/>
      <c r="D54" s="147"/>
      <c r="E54" s="147"/>
      <c r="F54" s="121">
        <v>10</v>
      </c>
      <c r="G54" s="116">
        <v>10</v>
      </c>
      <c r="H54" s="116">
        <v>10</v>
      </c>
      <c r="I54" s="116"/>
      <c r="J54" s="116">
        <v>10</v>
      </c>
      <c r="K54" s="116">
        <v>10</v>
      </c>
      <c r="L54" s="114">
        <v>10</v>
      </c>
    </row>
    <row r="55" spans="1:12" ht="37.5" customHeight="1" x14ac:dyDescent="0.25">
      <c r="A55" s="146" t="s">
        <v>155</v>
      </c>
      <c r="B55" s="147"/>
      <c r="C55" s="147"/>
      <c r="D55" s="147"/>
      <c r="E55" s="147"/>
      <c r="F55" s="121">
        <v>130</v>
      </c>
      <c r="G55" s="116">
        <v>156</v>
      </c>
      <c r="H55" s="116">
        <v>100</v>
      </c>
      <c r="I55" s="116"/>
      <c r="J55" s="116">
        <v>156</v>
      </c>
      <c r="K55" s="116">
        <v>156</v>
      </c>
      <c r="L55" s="114">
        <v>156</v>
      </c>
    </row>
    <row r="56" spans="1:12" ht="37.5" customHeight="1" x14ac:dyDescent="0.25">
      <c r="A56" s="146" t="s">
        <v>156</v>
      </c>
      <c r="B56" s="147"/>
      <c r="C56" s="147"/>
      <c r="D56" s="147"/>
      <c r="E56" s="147"/>
      <c r="F56" s="121">
        <v>5</v>
      </c>
      <c r="G56" s="116">
        <v>4</v>
      </c>
      <c r="H56" s="116">
        <v>4</v>
      </c>
      <c r="I56" s="116">
        <v>7</v>
      </c>
      <c r="J56" s="116">
        <v>6</v>
      </c>
      <c r="K56" s="116">
        <v>6</v>
      </c>
      <c r="L56" s="114">
        <v>6</v>
      </c>
    </row>
    <row r="57" spans="1:12" ht="15" customHeight="1" x14ac:dyDescent="0.25">
      <c r="A57" s="148" t="s">
        <v>157</v>
      </c>
      <c r="B57" s="149"/>
      <c r="C57" s="149"/>
      <c r="D57" s="149"/>
      <c r="E57" s="149"/>
      <c r="F57" s="122"/>
      <c r="G57" s="117"/>
      <c r="H57" s="117"/>
      <c r="I57" s="117"/>
      <c r="J57" s="117"/>
      <c r="K57" s="117"/>
      <c r="L57" s="113"/>
    </row>
    <row r="58" spans="1:12" s="110" customFormat="1" ht="57.95" customHeight="1" x14ac:dyDescent="0.25">
      <c r="A58" s="146" t="s">
        <v>158</v>
      </c>
      <c r="B58" s="147"/>
      <c r="C58" s="147"/>
      <c r="D58" s="147"/>
      <c r="E58" s="147"/>
      <c r="F58" s="123">
        <v>12</v>
      </c>
      <c r="G58" s="118">
        <v>15</v>
      </c>
      <c r="H58" s="118">
        <v>10</v>
      </c>
      <c r="I58" s="118">
        <v>15</v>
      </c>
      <c r="J58" s="118">
        <v>12</v>
      </c>
      <c r="K58" s="118">
        <v>12</v>
      </c>
      <c r="L58" s="115">
        <v>12</v>
      </c>
    </row>
    <row r="59" spans="1:12" s="110" customFormat="1" ht="32.450000000000003" customHeight="1" x14ac:dyDescent="0.25">
      <c r="A59" s="146" t="s">
        <v>159</v>
      </c>
      <c r="B59" s="147"/>
      <c r="C59" s="147"/>
      <c r="D59" s="147"/>
      <c r="E59" s="147"/>
      <c r="F59" s="123">
        <v>4</v>
      </c>
      <c r="G59" s="118">
        <v>4</v>
      </c>
      <c r="H59" s="118">
        <v>4</v>
      </c>
      <c r="I59" s="118">
        <v>4</v>
      </c>
      <c r="J59" s="118">
        <v>4</v>
      </c>
      <c r="K59" s="118">
        <v>4</v>
      </c>
      <c r="L59" s="115">
        <v>4</v>
      </c>
    </row>
    <row r="60" spans="1:12" s="110" customFormat="1" ht="69.599999999999994" customHeight="1" x14ac:dyDescent="0.25">
      <c r="A60" s="146" t="s">
        <v>160</v>
      </c>
      <c r="B60" s="147"/>
      <c r="C60" s="147"/>
      <c r="D60" s="147"/>
      <c r="E60" s="147"/>
      <c r="F60" s="123">
        <v>20</v>
      </c>
      <c r="G60" s="118">
        <v>15</v>
      </c>
      <c r="H60" s="118">
        <v>10</v>
      </c>
      <c r="I60" s="118">
        <v>6</v>
      </c>
      <c r="J60" s="118">
        <v>10</v>
      </c>
      <c r="K60" s="118">
        <v>20</v>
      </c>
      <c r="L60" s="115">
        <v>20</v>
      </c>
    </row>
    <row r="61" spans="1:12" s="110" customFormat="1" ht="59.1" customHeight="1" x14ac:dyDescent="0.25">
      <c r="A61" s="146" t="s">
        <v>161</v>
      </c>
      <c r="B61" s="147"/>
      <c r="C61" s="147"/>
      <c r="D61" s="147"/>
      <c r="E61" s="147"/>
      <c r="F61" s="123">
        <v>12</v>
      </c>
      <c r="G61" s="118">
        <v>12</v>
      </c>
      <c r="H61" s="118">
        <v>15</v>
      </c>
      <c r="I61" s="118">
        <v>30</v>
      </c>
      <c r="J61" s="118">
        <v>15</v>
      </c>
      <c r="K61" s="118">
        <v>15</v>
      </c>
      <c r="L61" s="115">
        <v>15</v>
      </c>
    </row>
    <row r="62" spans="1:12" ht="15" customHeight="1" x14ac:dyDescent="0.25">
      <c r="A62" s="148" t="s">
        <v>162</v>
      </c>
      <c r="B62" s="149"/>
      <c r="C62" s="149"/>
      <c r="D62" s="149"/>
      <c r="E62" s="149"/>
      <c r="F62" s="122"/>
      <c r="G62" s="117"/>
      <c r="H62" s="117"/>
      <c r="I62" s="117"/>
      <c r="J62" s="117"/>
      <c r="K62" s="117"/>
      <c r="L62" s="113"/>
    </row>
    <row r="63" spans="1:12" ht="46.5" customHeight="1" x14ac:dyDescent="0.25">
      <c r="A63" s="146" t="s">
        <v>163</v>
      </c>
      <c r="B63" s="147"/>
      <c r="C63" s="147"/>
      <c r="D63" s="147"/>
      <c r="E63" s="147"/>
      <c r="F63" s="121">
        <v>30</v>
      </c>
      <c r="G63" s="116">
        <v>30</v>
      </c>
      <c r="H63" s="116">
        <v>15</v>
      </c>
      <c r="I63" s="116">
        <v>10</v>
      </c>
      <c r="J63" s="116">
        <v>10</v>
      </c>
      <c r="K63" s="116">
        <v>25</v>
      </c>
      <c r="L63" s="114">
        <v>25</v>
      </c>
    </row>
    <row r="64" spans="1:12" ht="46.5" customHeight="1" x14ac:dyDescent="0.25">
      <c r="A64" s="146" t="s">
        <v>164</v>
      </c>
      <c r="B64" s="147"/>
      <c r="C64" s="147"/>
      <c r="D64" s="147"/>
      <c r="E64" s="147"/>
      <c r="F64" s="121">
        <v>3</v>
      </c>
      <c r="G64" s="116">
        <v>6</v>
      </c>
      <c r="H64" s="116">
        <v>2</v>
      </c>
      <c r="I64" s="116">
        <v>0</v>
      </c>
      <c r="J64" s="116">
        <v>4</v>
      </c>
      <c r="K64" s="116">
        <v>6</v>
      </c>
      <c r="L64" s="114">
        <v>6</v>
      </c>
    </row>
    <row r="65" spans="1:12" ht="15" customHeight="1" x14ac:dyDescent="0.25">
      <c r="A65" s="148" t="s">
        <v>165</v>
      </c>
      <c r="B65" s="149"/>
      <c r="C65" s="149"/>
      <c r="D65" s="149"/>
      <c r="E65" s="149"/>
      <c r="F65" s="122"/>
      <c r="G65" s="117"/>
      <c r="H65" s="117"/>
      <c r="I65" s="117"/>
      <c r="J65" s="117"/>
      <c r="K65" s="117"/>
      <c r="L65" s="113"/>
    </row>
    <row r="66" spans="1:12" ht="42.6" customHeight="1" x14ac:dyDescent="0.25">
      <c r="A66" s="146" t="s">
        <v>166</v>
      </c>
      <c r="B66" s="147"/>
      <c r="C66" s="147"/>
      <c r="D66" s="147"/>
      <c r="E66" s="147"/>
      <c r="F66" s="121">
        <v>85</v>
      </c>
      <c r="G66" s="116">
        <v>79</v>
      </c>
      <c r="H66" s="116">
        <v>50</v>
      </c>
      <c r="I66" s="116">
        <v>55</v>
      </c>
      <c r="J66" s="116">
        <v>79</v>
      </c>
      <c r="K66" s="116">
        <v>79</v>
      </c>
      <c r="L66" s="114">
        <v>79</v>
      </c>
    </row>
    <row r="67" spans="1:12" ht="54.95" customHeight="1" x14ac:dyDescent="0.25">
      <c r="A67" s="146" t="s">
        <v>167</v>
      </c>
      <c r="B67" s="147"/>
      <c r="C67" s="147"/>
      <c r="D67" s="147"/>
      <c r="E67" s="147"/>
      <c r="F67" s="121">
        <v>4</v>
      </c>
      <c r="G67" s="116"/>
      <c r="H67" s="116">
        <v>4</v>
      </c>
      <c r="I67" s="116">
        <v>4</v>
      </c>
      <c r="J67" s="116">
        <v>4</v>
      </c>
      <c r="K67" s="116">
        <v>4</v>
      </c>
      <c r="L67" s="114">
        <v>4</v>
      </c>
    </row>
    <row r="68" spans="1:12" ht="39" customHeight="1" x14ac:dyDescent="0.25">
      <c r="A68" s="146" t="s">
        <v>168</v>
      </c>
      <c r="B68" s="147"/>
      <c r="C68" s="147"/>
      <c r="D68" s="147"/>
      <c r="E68" s="147"/>
      <c r="F68" s="121">
        <v>4</v>
      </c>
      <c r="G68" s="116">
        <v>4</v>
      </c>
      <c r="H68" s="116">
        <v>4</v>
      </c>
      <c r="I68" s="116">
        <v>4</v>
      </c>
      <c r="J68" s="116">
        <v>4</v>
      </c>
      <c r="K68" s="116">
        <v>4</v>
      </c>
      <c r="L68" s="114">
        <v>4</v>
      </c>
    </row>
    <row r="69" spans="1:12" ht="15" customHeight="1" x14ac:dyDescent="0.25">
      <c r="A69" s="148" t="s">
        <v>169</v>
      </c>
      <c r="B69" s="149"/>
      <c r="C69" s="149"/>
      <c r="D69" s="149"/>
      <c r="E69" s="149"/>
      <c r="F69" s="122"/>
      <c r="G69" s="117"/>
      <c r="H69" s="117"/>
      <c r="I69" s="117"/>
      <c r="J69" s="117"/>
      <c r="K69" s="117"/>
      <c r="L69" s="113"/>
    </row>
    <row r="70" spans="1:12" ht="39.6" customHeight="1" x14ac:dyDescent="0.25">
      <c r="A70" s="146" t="s">
        <v>170</v>
      </c>
      <c r="B70" s="147"/>
      <c r="C70" s="147"/>
      <c r="D70" s="147"/>
      <c r="E70" s="147"/>
      <c r="F70" s="121">
        <v>4</v>
      </c>
      <c r="G70" s="116">
        <v>4</v>
      </c>
      <c r="H70" s="116">
        <v>4</v>
      </c>
      <c r="I70" s="116">
        <v>4</v>
      </c>
      <c r="J70" s="116">
        <v>4</v>
      </c>
      <c r="K70" s="116">
        <v>4</v>
      </c>
      <c r="L70" s="114">
        <v>4</v>
      </c>
    </row>
    <row r="71" spans="1:12" ht="30.6" customHeight="1" x14ac:dyDescent="0.25">
      <c r="A71" s="146" t="s">
        <v>171</v>
      </c>
      <c r="B71" s="147"/>
      <c r="C71" s="147"/>
      <c r="D71" s="147"/>
      <c r="E71" s="147"/>
      <c r="F71" s="121">
        <v>4</v>
      </c>
      <c r="G71" s="116">
        <v>4</v>
      </c>
      <c r="H71" s="116">
        <v>4</v>
      </c>
      <c r="I71" s="116">
        <v>4</v>
      </c>
      <c r="J71" s="116">
        <v>4</v>
      </c>
      <c r="K71" s="116">
        <v>4</v>
      </c>
      <c r="L71" s="114">
        <v>4</v>
      </c>
    </row>
    <row r="72" spans="1:12" ht="41.45" customHeight="1" x14ac:dyDescent="0.25">
      <c r="A72" s="146" t="s">
        <v>172</v>
      </c>
      <c r="B72" s="147"/>
      <c r="C72" s="147"/>
      <c r="D72" s="147"/>
      <c r="E72" s="147"/>
      <c r="F72" s="121">
        <v>4</v>
      </c>
      <c r="G72" s="116">
        <v>4</v>
      </c>
      <c r="H72" s="116">
        <v>4</v>
      </c>
      <c r="I72" s="116">
        <v>4</v>
      </c>
      <c r="J72" s="116">
        <v>4</v>
      </c>
      <c r="K72" s="116">
        <v>4</v>
      </c>
      <c r="L72" s="114">
        <v>4</v>
      </c>
    </row>
    <row r="73" spans="1:12" ht="15" customHeight="1" x14ac:dyDescent="0.25">
      <c r="A73" s="148" t="s">
        <v>173</v>
      </c>
      <c r="B73" s="149"/>
      <c r="C73" s="149"/>
      <c r="D73" s="149"/>
      <c r="E73" s="149"/>
      <c r="F73" s="122"/>
      <c r="G73" s="117"/>
      <c r="H73" s="117"/>
      <c r="I73" s="117"/>
      <c r="J73" s="117"/>
      <c r="K73" s="117"/>
      <c r="L73" s="113"/>
    </row>
    <row r="74" spans="1:12" ht="42.95" customHeight="1" x14ac:dyDescent="0.25">
      <c r="A74" s="146" t="s">
        <v>174</v>
      </c>
      <c r="B74" s="147"/>
      <c r="C74" s="147"/>
      <c r="D74" s="147"/>
      <c r="E74" s="147"/>
      <c r="F74" s="121">
        <v>20</v>
      </c>
      <c r="G74" s="116">
        <v>30</v>
      </c>
      <c r="H74" s="116">
        <v>10</v>
      </c>
      <c r="I74" s="116">
        <v>8</v>
      </c>
      <c r="J74" s="116">
        <v>15</v>
      </c>
      <c r="K74" s="116">
        <v>30</v>
      </c>
      <c r="L74" s="114">
        <v>30</v>
      </c>
    </row>
    <row r="75" spans="1:12" ht="15" customHeight="1" x14ac:dyDescent="0.25">
      <c r="A75" s="148" t="s">
        <v>175</v>
      </c>
      <c r="B75" s="149"/>
      <c r="C75" s="149"/>
      <c r="D75" s="149"/>
      <c r="E75" s="149"/>
      <c r="F75" s="122"/>
      <c r="G75" s="117"/>
      <c r="H75" s="117"/>
      <c r="I75" s="117"/>
      <c r="J75" s="117"/>
      <c r="K75" s="117"/>
      <c r="L75" s="113"/>
    </row>
    <row r="76" spans="1:12" ht="26.45" customHeight="1" x14ac:dyDescent="0.25">
      <c r="A76" s="146" t="s">
        <v>176</v>
      </c>
      <c r="B76" s="147"/>
      <c r="C76" s="147"/>
      <c r="D76" s="147"/>
      <c r="E76" s="147"/>
      <c r="F76" s="121">
        <v>12</v>
      </c>
      <c r="G76" s="116">
        <v>17</v>
      </c>
      <c r="H76" s="116">
        <v>15</v>
      </c>
      <c r="I76" s="116">
        <v>20</v>
      </c>
      <c r="J76" s="116">
        <v>20</v>
      </c>
      <c r="K76" s="116">
        <v>20</v>
      </c>
      <c r="L76" s="114">
        <v>20</v>
      </c>
    </row>
    <row r="77" spans="1:12" ht="15" customHeight="1" x14ac:dyDescent="0.25">
      <c r="A77" s="146" t="s">
        <v>177</v>
      </c>
      <c r="B77" s="147"/>
      <c r="C77" s="147"/>
      <c r="D77" s="147"/>
      <c r="E77" s="147"/>
      <c r="F77" s="121">
        <v>4</v>
      </c>
      <c r="G77" s="116">
        <v>4</v>
      </c>
      <c r="H77" s="116">
        <v>4</v>
      </c>
      <c r="I77" s="116">
        <v>4</v>
      </c>
      <c r="J77" s="116">
        <v>4</v>
      </c>
      <c r="K77" s="116">
        <v>4</v>
      </c>
      <c r="L77" s="114">
        <v>4</v>
      </c>
    </row>
    <row r="78" spans="1:12" ht="15" customHeight="1" x14ac:dyDescent="0.25">
      <c r="A78" s="146" t="s">
        <v>178</v>
      </c>
      <c r="B78" s="147"/>
      <c r="C78" s="147"/>
      <c r="D78" s="147"/>
      <c r="E78" s="147"/>
      <c r="F78" s="121">
        <v>2</v>
      </c>
      <c r="G78" s="116">
        <v>2</v>
      </c>
      <c r="H78" s="116">
        <v>2</v>
      </c>
      <c r="I78" s="116">
        <v>2</v>
      </c>
      <c r="J78" s="116">
        <v>7</v>
      </c>
      <c r="K78" s="116">
        <v>7</v>
      </c>
      <c r="L78" s="114">
        <v>7</v>
      </c>
    </row>
    <row r="79" spans="1:12" ht="15" customHeight="1" x14ac:dyDescent="0.25">
      <c r="A79" s="146" t="s">
        <v>179</v>
      </c>
      <c r="B79" s="147"/>
      <c r="C79" s="147"/>
      <c r="D79" s="147"/>
      <c r="E79" s="147"/>
      <c r="F79" s="121">
        <v>1</v>
      </c>
      <c r="G79" s="116">
        <v>1</v>
      </c>
      <c r="H79" s="116">
        <v>1</v>
      </c>
      <c r="I79" s="116">
        <v>1</v>
      </c>
      <c r="J79" s="116">
        <v>1</v>
      </c>
      <c r="K79" s="116">
        <v>1</v>
      </c>
      <c r="L79" s="114">
        <v>1</v>
      </c>
    </row>
    <row r="80" spans="1:12" ht="15" customHeight="1" x14ac:dyDescent="0.25">
      <c r="A80" s="146" t="s">
        <v>180</v>
      </c>
      <c r="B80" s="147"/>
      <c r="C80" s="147"/>
      <c r="D80" s="147"/>
      <c r="E80" s="147"/>
      <c r="F80" s="121">
        <v>2</v>
      </c>
      <c r="G80" s="116">
        <v>2</v>
      </c>
      <c r="H80" s="116">
        <v>0</v>
      </c>
      <c r="I80" s="116">
        <v>0</v>
      </c>
      <c r="J80" s="116">
        <v>2</v>
      </c>
      <c r="K80" s="116">
        <v>2</v>
      </c>
      <c r="L80" s="114">
        <v>2</v>
      </c>
    </row>
    <row r="81" spans="1:12" ht="15" customHeight="1" x14ac:dyDescent="0.25">
      <c r="A81" s="146" t="s">
        <v>181</v>
      </c>
      <c r="B81" s="147"/>
      <c r="C81" s="147"/>
      <c r="D81" s="147"/>
      <c r="E81" s="147"/>
      <c r="F81" s="121">
        <v>0</v>
      </c>
      <c r="G81" s="116">
        <v>1</v>
      </c>
      <c r="H81" s="116">
        <v>0</v>
      </c>
      <c r="I81" s="116">
        <v>0</v>
      </c>
      <c r="J81" s="116">
        <v>1</v>
      </c>
      <c r="K81" s="116">
        <v>1</v>
      </c>
      <c r="L81" s="114">
        <v>1</v>
      </c>
    </row>
    <row r="82" spans="1:12" ht="15" customHeight="1" x14ac:dyDescent="0.25">
      <c r="A82" s="148" t="s">
        <v>182</v>
      </c>
      <c r="B82" s="149"/>
      <c r="C82" s="149"/>
      <c r="D82" s="149"/>
      <c r="E82" s="149"/>
      <c r="F82" s="122"/>
      <c r="G82" s="117"/>
      <c r="H82" s="117"/>
      <c r="I82" s="117"/>
      <c r="J82" s="117"/>
      <c r="K82" s="117"/>
      <c r="L82" s="113"/>
    </row>
    <row r="83" spans="1:12" ht="18.95" customHeight="1" x14ac:dyDescent="0.25">
      <c r="A83" s="146" t="s">
        <v>183</v>
      </c>
      <c r="B83" s="147"/>
      <c r="C83" s="147"/>
      <c r="D83" s="147"/>
      <c r="E83" s="147"/>
      <c r="F83" s="121">
        <v>2</v>
      </c>
      <c r="G83" s="116">
        <v>3</v>
      </c>
      <c r="H83" s="116">
        <v>1</v>
      </c>
      <c r="I83" s="116">
        <v>3</v>
      </c>
      <c r="J83" s="116">
        <v>2</v>
      </c>
      <c r="K83" s="116">
        <v>2</v>
      </c>
      <c r="L83" s="114">
        <v>2</v>
      </c>
    </row>
    <row r="84" spans="1:12" ht="15" customHeight="1" x14ac:dyDescent="0.25">
      <c r="A84" s="146" t="s">
        <v>184</v>
      </c>
      <c r="B84" s="147"/>
      <c r="C84" s="147"/>
      <c r="D84" s="147"/>
      <c r="E84" s="147"/>
      <c r="F84" s="121"/>
      <c r="G84" s="116"/>
      <c r="H84" s="116"/>
      <c r="I84" s="116"/>
      <c r="J84" s="116"/>
      <c r="K84" s="116"/>
      <c r="L84" s="114"/>
    </row>
    <row r="85" spans="1:12" ht="15" customHeight="1" x14ac:dyDescent="0.25">
      <c r="A85" s="148" t="s">
        <v>185</v>
      </c>
      <c r="B85" s="149"/>
      <c r="C85" s="149"/>
      <c r="D85" s="149"/>
      <c r="E85" s="149"/>
      <c r="F85" s="122"/>
      <c r="G85" s="117"/>
      <c r="H85" s="117"/>
      <c r="I85" s="117"/>
      <c r="J85" s="117"/>
      <c r="K85" s="117"/>
      <c r="L85" s="113"/>
    </row>
    <row r="86" spans="1:12" ht="15" customHeight="1" x14ac:dyDescent="0.25">
      <c r="A86" s="146" t="s">
        <v>186</v>
      </c>
      <c r="B86" s="147"/>
      <c r="C86" s="147"/>
      <c r="D86" s="147"/>
      <c r="E86" s="147"/>
      <c r="F86" s="121">
        <v>1</v>
      </c>
      <c r="G86" s="116">
        <v>1</v>
      </c>
      <c r="H86" s="116">
        <v>1</v>
      </c>
      <c r="I86" s="116">
        <v>1</v>
      </c>
      <c r="J86" s="116">
        <v>1</v>
      </c>
      <c r="K86" s="116">
        <v>1</v>
      </c>
      <c r="L86" s="114">
        <v>1</v>
      </c>
    </row>
    <row r="87" spans="1:12" ht="15" customHeight="1" x14ac:dyDescent="0.25">
      <c r="A87" s="146" t="s">
        <v>187</v>
      </c>
      <c r="B87" s="147"/>
      <c r="C87" s="147"/>
      <c r="D87" s="147"/>
      <c r="E87" s="147"/>
      <c r="F87" s="121">
        <v>1</v>
      </c>
      <c r="G87" s="116">
        <v>1</v>
      </c>
      <c r="H87" s="116">
        <v>1</v>
      </c>
      <c r="I87" s="116">
        <v>1</v>
      </c>
      <c r="J87" s="116">
        <v>1</v>
      </c>
      <c r="K87" s="116">
        <v>1</v>
      </c>
      <c r="L87" s="114">
        <v>1</v>
      </c>
    </row>
    <row r="88" spans="1:12" ht="15" customHeight="1" x14ac:dyDescent="0.25">
      <c r="A88" s="146" t="s">
        <v>188</v>
      </c>
      <c r="B88" s="147"/>
      <c r="C88" s="147"/>
      <c r="D88" s="147"/>
      <c r="E88" s="147"/>
      <c r="F88" s="121">
        <v>1</v>
      </c>
      <c r="G88" s="116"/>
      <c r="H88" s="116">
        <v>1</v>
      </c>
      <c r="I88" s="116">
        <v>1</v>
      </c>
      <c r="J88" s="116">
        <v>1</v>
      </c>
      <c r="K88" s="116">
        <v>1</v>
      </c>
      <c r="L88" s="114">
        <v>1</v>
      </c>
    </row>
    <row r="89" spans="1:12" ht="15" customHeight="1" x14ac:dyDescent="0.25">
      <c r="A89" s="146" t="s">
        <v>189</v>
      </c>
      <c r="B89" s="147"/>
      <c r="C89" s="147"/>
      <c r="D89" s="147"/>
      <c r="E89" s="147"/>
      <c r="F89" s="121">
        <v>1</v>
      </c>
      <c r="G89" s="116">
        <v>1</v>
      </c>
      <c r="H89" s="116">
        <v>1</v>
      </c>
      <c r="I89" s="116">
        <v>1</v>
      </c>
      <c r="J89" s="116">
        <v>1</v>
      </c>
      <c r="K89" s="116">
        <v>1</v>
      </c>
      <c r="L89" s="114"/>
    </row>
    <row r="90" spans="1:12" ht="15" customHeight="1" x14ac:dyDescent="0.25">
      <c r="A90" s="146" t="s">
        <v>190</v>
      </c>
      <c r="B90" s="147"/>
      <c r="C90" s="147"/>
      <c r="D90" s="147"/>
      <c r="E90" s="147"/>
      <c r="F90" s="121">
        <v>1</v>
      </c>
      <c r="G90" s="116">
        <v>1</v>
      </c>
      <c r="H90" s="116">
        <v>1</v>
      </c>
      <c r="I90" s="116">
        <v>1</v>
      </c>
      <c r="J90" s="116">
        <v>1</v>
      </c>
      <c r="K90" s="116">
        <v>1</v>
      </c>
      <c r="L90" s="114">
        <v>1</v>
      </c>
    </row>
    <row r="91" spans="1:12" ht="15" customHeight="1" x14ac:dyDescent="0.25">
      <c r="A91" s="146" t="s">
        <v>191</v>
      </c>
      <c r="B91" s="147"/>
      <c r="C91" s="147"/>
      <c r="D91" s="147"/>
      <c r="E91" s="147"/>
      <c r="F91" s="121">
        <v>1</v>
      </c>
      <c r="G91" s="116">
        <v>1</v>
      </c>
      <c r="H91" s="116">
        <v>1</v>
      </c>
      <c r="I91" s="116">
        <v>1</v>
      </c>
      <c r="J91" s="116">
        <v>1</v>
      </c>
      <c r="K91" s="116">
        <v>1</v>
      </c>
      <c r="L91" s="114">
        <v>1</v>
      </c>
    </row>
    <row r="92" spans="1:12" ht="15" customHeight="1" x14ac:dyDescent="0.25">
      <c r="A92" s="146" t="s">
        <v>192</v>
      </c>
      <c r="B92" s="147"/>
      <c r="C92" s="147"/>
      <c r="D92" s="147"/>
      <c r="E92" s="147"/>
      <c r="F92" s="121">
        <v>1</v>
      </c>
      <c r="G92" s="116">
        <v>1</v>
      </c>
      <c r="H92" s="116">
        <v>1</v>
      </c>
      <c r="I92" s="116">
        <v>1</v>
      </c>
      <c r="J92" s="116">
        <v>1</v>
      </c>
      <c r="K92" s="116">
        <v>1</v>
      </c>
      <c r="L92" s="114">
        <v>1</v>
      </c>
    </row>
    <row r="93" spans="1:12" ht="15" customHeight="1" x14ac:dyDescent="0.25">
      <c r="A93" s="146" t="s">
        <v>193</v>
      </c>
      <c r="B93" s="147"/>
      <c r="C93" s="147"/>
      <c r="D93" s="147"/>
      <c r="E93" s="147"/>
      <c r="F93" s="121">
        <v>4</v>
      </c>
      <c r="G93" s="116">
        <v>4</v>
      </c>
      <c r="H93" s="116">
        <v>4</v>
      </c>
      <c r="I93" s="116">
        <v>4</v>
      </c>
      <c r="J93" s="116">
        <v>4</v>
      </c>
      <c r="K93" s="116">
        <v>4</v>
      </c>
      <c r="L93" s="114">
        <v>4</v>
      </c>
    </row>
    <row r="94" spans="1:12" ht="15" customHeight="1" x14ac:dyDescent="0.25">
      <c r="A94" s="146" t="s">
        <v>194</v>
      </c>
      <c r="B94" s="147"/>
      <c r="C94" s="147"/>
      <c r="D94" s="147"/>
      <c r="E94" s="147"/>
      <c r="F94" s="121">
        <v>60</v>
      </c>
      <c r="G94" s="116">
        <v>30</v>
      </c>
      <c r="H94" s="116">
        <v>20</v>
      </c>
      <c r="I94" s="116">
        <v>30</v>
      </c>
      <c r="J94" s="116">
        <v>30</v>
      </c>
      <c r="K94" s="116">
        <v>30</v>
      </c>
      <c r="L94" s="114">
        <v>30</v>
      </c>
    </row>
    <row r="95" spans="1:12" ht="15" customHeight="1" x14ac:dyDescent="0.25">
      <c r="A95" s="148" t="s">
        <v>195</v>
      </c>
      <c r="B95" s="149"/>
      <c r="C95" s="149"/>
      <c r="D95" s="149"/>
      <c r="E95" s="149"/>
      <c r="F95" s="122"/>
      <c r="G95" s="117"/>
      <c r="H95" s="117"/>
      <c r="I95" s="117"/>
      <c r="J95" s="117"/>
      <c r="K95" s="117"/>
      <c r="L95" s="113"/>
    </row>
    <row r="96" spans="1:12" ht="15" customHeight="1" x14ac:dyDescent="0.25">
      <c r="A96" s="159" t="s">
        <v>196</v>
      </c>
      <c r="B96" s="160"/>
      <c r="C96" s="160"/>
      <c r="D96" s="160"/>
      <c r="E96" s="160"/>
      <c r="F96" s="121">
        <v>15</v>
      </c>
      <c r="G96" s="116">
        <v>15</v>
      </c>
      <c r="H96" s="116">
        <v>10</v>
      </c>
      <c r="I96" s="116">
        <v>10</v>
      </c>
      <c r="J96" s="116">
        <v>15</v>
      </c>
      <c r="K96" s="116">
        <v>15</v>
      </c>
      <c r="L96" s="114">
        <v>15</v>
      </c>
    </row>
    <row r="97" spans="1:12" ht="15" customHeight="1" x14ac:dyDescent="0.25">
      <c r="A97" s="148" t="s">
        <v>197</v>
      </c>
      <c r="B97" s="149"/>
      <c r="C97" s="149"/>
      <c r="D97" s="149"/>
      <c r="E97" s="149"/>
      <c r="F97" s="122"/>
      <c r="G97" s="117"/>
      <c r="H97" s="117"/>
      <c r="I97" s="117"/>
      <c r="J97" s="117"/>
      <c r="K97" s="117"/>
      <c r="L97" s="113"/>
    </row>
    <row r="98" spans="1:12" ht="28.5" customHeight="1" x14ac:dyDescent="0.25">
      <c r="A98" s="146" t="s">
        <v>198</v>
      </c>
      <c r="B98" s="161"/>
      <c r="C98" s="161"/>
      <c r="D98" s="161"/>
      <c r="E98" s="161"/>
      <c r="F98" s="121">
        <v>20</v>
      </c>
      <c r="G98" s="116">
        <v>20</v>
      </c>
      <c r="H98" s="116">
        <v>10</v>
      </c>
      <c r="I98" s="116">
        <v>10</v>
      </c>
      <c r="J98" s="116">
        <v>15</v>
      </c>
      <c r="K98" s="116">
        <v>15</v>
      </c>
      <c r="L98" s="114">
        <v>15</v>
      </c>
    </row>
    <row r="99" spans="1:12" ht="15" customHeight="1" x14ac:dyDescent="0.25">
      <c r="A99" s="148" t="s">
        <v>199</v>
      </c>
      <c r="B99" s="149"/>
      <c r="C99" s="149"/>
      <c r="D99" s="149"/>
      <c r="E99" s="149"/>
      <c r="F99" s="122"/>
      <c r="G99" s="117"/>
      <c r="H99" s="117"/>
      <c r="I99" s="117"/>
      <c r="J99" s="117"/>
      <c r="K99" s="117"/>
      <c r="L99" s="113"/>
    </row>
    <row r="100" spans="1:12" ht="15" customHeight="1" x14ac:dyDescent="0.25">
      <c r="A100" s="146" t="s">
        <v>200</v>
      </c>
      <c r="B100" s="147"/>
      <c r="C100" s="147"/>
      <c r="D100" s="147"/>
      <c r="E100" s="147"/>
      <c r="F100" s="121">
        <v>1</v>
      </c>
      <c r="G100" s="116">
        <v>1</v>
      </c>
      <c r="H100" s="116">
        <v>1</v>
      </c>
      <c r="I100" s="116">
        <v>1</v>
      </c>
      <c r="J100" s="116">
        <v>1</v>
      </c>
      <c r="K100" s="116">
        <v>1</v>
      </c>
      <c r="L100" s="114">
        <v>1</v>
      </c>
    </row>
    <row r="101" spans="1:12" ht="15" customHeight="1" x14ac:dyDescent="0.25">
      <c r="A101" s="146" t="s">
        <v>201</v>
      </c>
      <c r="B101" s="147"/>
      <c r="C101" s="147"/>
      <c r="D101" s="147"/>
      <c r="E101" s="147"/>
      <c r="F101" s="121">
        <v>1</v>
      </c>
      <c r="G101" s="116">
        <v>1</v>
      </c>
      <c r="H101" s="116">
        <v>1</v>
      </c>
      <c r="I101" s="116">
        <v>1</v>
      </c>
      <c r="J101" s="116">
        <v>1</v>
      </c>
      <c r="K101" s="116">
        <v>1</v>
      </c>
      <c r="L101" s="114">
        <v>1</v>
      </c>
    </row>
    <row r="102" spans="1:12" ht="15" customHeight="1" x14ac:dyDescent="0.25">
      <c r="A102" s="146" t="s">
        <v>202</v>
      </c>
      <c r="B102" s="147"/>
      <c r="C102" s="147"/>
      <c r="D102" s="147"/>
      <c r="E102" s="147"/>
      <c r="F102" s="121">
        <v>1</v>
      </c>
      <c r="G102" s="116">
        <v>1</v>
      </c>
      <c r="H102" s="116">
        <v>1</v>
      </c>
      <c r="I102" s="116">
        <v>1</v>
      </c>
      <c r="J102" s="116">
        <v>1</v>
      </c>
      <c r="K102" s="116">
        <v>1</v>
      </c>
      <c r="L102" s="114">
        <v>1</v>
      </c>
    </row>
    <row r="103" spans="1:12" ht="15" customHeight="1" x14ac:dyDescent="0.25">
      <c r="A103" s="146" t="s">
        <v>203</v>
      </c>
      <c r="B103" s="147"/>
      <c r="C103" s="147"/>
      <c r="D103" s="147"/>
      <c r="E103" s="147"/>
      <c r="F103" s="121">
        <v>1</v>
      </c>
      <c r="G103" s="116">
        <v>1</v>
      </c>
      <c r="H103" s="116">
        <v>1</v>
      </c>
      <c r="I103" s="116">
        <v>1</v>
      </c>
      <c r="J103" s="116">
        <v>1</v>
      </c>
      <c r="K103" s="116">
        <v>1</v>
      </c>
      <c r="L103" s="114">
        <v>1</v>
      </c>
    </row>
    <row r="104" spans="1:12" ht="15" customHeight="1" x14ac:dyDescent="0.25">
      <c r="A104" s="148" t="s">
        <v>204</v>
      </c>
      <c r="B104" s="162"/>
      <c r="C104" s="162"/>
      <c r="D104" s="162"/>
      <c r="E104" s="162"/>
      <c r="F104" s="122"/>
      <c r="G104" s="117"/>
      <c r="H104" s="117"/>
      <c r="I104" s="117"/>
      <c r="J104" s="117"/>
      <c r="K104" s="117"/>
      <c r="L104" s="113"/>
    </row>
    <row r="105" spans="1:12" ht="15" customHeight="1" x14ac:dyDescent="0.25">
      <c r="A105" s="146" t="s">
        <v>205</v>
      </c>
      <c r="B105" s="147"/>
      <c r="C105" s="147"/>
      <c r="D105" s="147"/>
      <c r="E105" s="147"/>
      <c r="F105" s="121">
        <v>3</v>
      </c>
      <c r="G105" s="116">
        <v>5</v>
      </c>
      <c r="H105" s="116">
        <v>1</v>
      </c>
      <c r="I105" s="116">
        <v>1</v>
      </c>
      <c r="J105" s="116">
        <v>2</v>
      </c>
      <c r="K105" s="116">
        <v>3</v>
      </c>
      <c r="L105" s="114">
        <v>3</v>
      </c>
    </row>
    <row r="106" spans="1:12" ht="15" customHeight="1" x14ac:dyDescent="0.25">
      <c r="A106" s="148" t="s">
        <v>206</v>
      </c>
      <c r="B106" s="162"/>
      <c r="C106" s="162"/>
      <c r="D106" s="162"/>
      <c r="E106" s="162"/>
      <c r="F106" s="122"/>
      <c r="G106" s="117"/>
      <c r="H106" s="117"/>
      <c r="I106" s="117"/>
      <c r="J106" s="117"/>
      <c r="K106" s="117"/>
      <c r="L106" s="113"/>
    </row>
    <row r="107" spans="1:12" ht="15" customHeight="1" x14ac:dyDescent="0.25">
      <c r="A107" s="146" t="s">
        <v>207</v>
      </c>
      <c r="B107" s="147"/>
      <c r="C107" s="147"/>
      <c r="D107" s="147"/>
      <c r="E107" s="147"/>
      <c r="F107" s="121">
        <v>3</v>
      </c>
      <c r="G107" s="116">
        <v>3</v>
      </c>
      <c r="H107" s="116">
        <v>2</v>
      </c>
      <c r="I107" s="116">
        <v>2</v>
      </c>
      <c r="J107" s="116">
        <v>2</v>
      </c>
      <c r="K107" s="116">
        <v>3</v>
      </c>
      <c r="L107" s="114">
        <v>3</v>
      </c>
    </row>
    <row r="108" spans="1:12" ht="15" customHeight="1" x14ac:dyDescent="0.25">
      <c r="A108" s="148" t="s">
        <v>208</v>
      </c>
      <c r="B108" s="162"/>
      <c r="C108" s="162"/>
      <c r="D108" s="162"/>
      <c r="E108" s="162"/>
      <c r="F108" s="122"/>
      <c r="G108" s="117"/>
      <c r="H108" s="117"/>
      <c r="I108" s="117"/>
      <c r="J108" s="117"/>
      <c r="K108" s="117"/>
      <c r="L108" s="113"/>
    </row>
    <row r="109" spans="1:12" ht="15" customHeight="1" x14ac:dyDescent="0.25">
      <c r="A109" s="146" t="s">
        <v>209</v>
      </c>
      <c r="B109" s="147"/>
      <c r="C109" s="147"/>
      <c r="D109" s="147"/>
      <c r="E109" s="147"/>
      <c r="F109" s="121">
        <v>1</v>
      </c>
      <c r="G109" s="116">
        <v>1</v>
      </c>
      <c r="H109" s="116">
        <v>1</v>
      </c>
      <c r="I109" s="116">
        <v>1</v>
      </c>
      <c r="J109" s="116">
        <v>1</v>
      </c>
      <c r="K109" s="116">
        <v>1</v>
      </c>
      <c r="L109" s="114">
        <v>1</v>
      </c>
    </row>
    <row r="110" spans="1:12" ht="15" customHeight="1" x14ac:dyDescent="0.25">
      <c r="A110" s="146" t="s">
        <v>210</v>
      </c>
      <c r="B110" s="147"/>
      <c r="C110" s="147"/>
      <c r="D110" s="147"/>
      <c r="E110" s="147"/>
      <c r="F110" s="121">
        <v>1</v>
      </c>
      <c r="G110" s="116">
        <v>1</v>
      </c>
      <c r="H110" s="116">
        <v>1</v>
      </c>
      <c r="I110" s="116">
        <v>1</v>
      </c>
      <c r="J110" s="116">
        <v>1</v>
      </c>
      <c r="K110" s="116">
        <v>1</v>
      </c>
      <c r="L110" s="114"/>
    </row>
    <row r="111" spans="1:12" ht="15" customHeight="1" x14ac:dyDescent="0.25">
      <c r="A111" s="148" t="s">
        <v>211</v>
      </c>
      <c r="B111" s="149"/>
      <c r="C111" s="149"/>
      <c r="D111" s="149"/>
      <c r="E111" s="149"/>
      <c r="F111" s="122"/>
      <c r="G111" s="117"/>
      <c r="H111" s="117"/>
      <c r="I111" s="117"/>
      <c r="J111" s="117"/>
      <c r="K111" s="117"/>
      <c r="L111" s="113"/>
    </row>
    <row r="112" spans="1:12" ht="15" customHeight="1" x14ac:dyDescent="0.25">
      <c r="A112" s="146" t="s">
        <v>212</v>
      </c>
      <c r="B112" s="147"/>
      <c r="C112" s="147"/>
      <c r="D112" s="147"/>
      <c r="E112" s="147"/>
      <c r="F112" s="121">
        <v>4</v>
      </c>
      <c r="G112" s="116">
        <v>4</v>
      </c>
      <c r="H112" s="116">
        <v>4</v>
      </c>
      <c r="I112" s="116">
        <v>4</v>
      </c>
      <c r="J112" s="116">
        <v>4</v>
      </c>
      <c r="K112" s="116">
        <v>4</v>
      </c>
      <c r="L112" s="114">
        <v>4</v>
      </c>
    </row>
    <row r="113" spans="1:12" ht="15" customHeight="1" x14ac:dyDescent="0.25">
      <c r="A113" s="146" t="s">
        <v>213</v>
      </c>
      <c r="B113" s="147"/>
      <c r="C113" s="147"/>
      <c r="D113" s="147"/>
      <c r="E113" s="147"/>
      <c r="F113" s="121">
        <v>2</v>
      </c>
      <c r="G113" s="116">
        <v>2</v>
      </c>
      <c r="H113" s="116">
        <v>1</v>
      </c>
      <c r="I113" s="116">
        <v>0</v>
      </c>
      <c r="J113" s="116">
        <v>2</v>
      </c>
      <c r="K113" s="116">
        <v>3</v>
      </c>
      <c r="L113" s="114">
        <v>3</v>
      </c>
    </row>
    <row r="114" spans="1:12" ht="15" customHeight="1" x14ac:dyDescent="0.25">
      <c r="A114" s="148" t="s">
        <v>214</v>
      </c>
      <c r="B114" s="149"/>
      <c r="C114" s="149"/>
      <c r="D114" s="149"/>
      <c r="E114" s="149"/>
      <c r="F114" s="122"/>
      <c r="G114" s="117"/>
      <c r="H114" s="117"/>
      <c r="I114" s="117"/>
      <c r="J114" s="117"/>
      <c r="K114" s="117"/>
      <c r="L114" s="113"/>
    </row>
    <row r="115" spans="1:12" ht="15" customHeight="1" x14ac:dyDescent="0.25">
      <c r="A115" s="146" t="s">
        <v>215</v>
      </c>
      <c r="B115" s="147"/>
      <c r="C115" s="147"/>
      <c r="D115" s="147"/>
      <c r="E115" s="147"/>
      <c r="F115" s="121">
        <v>10</v>
      </c>
      <c r="G115" s="116">
        <v>24</v>
      </c>
      <c r="H115" s="116">
        <v>30</v>
      </c>
      <c r="I115" s="116">
        <v>35</v>
      </c>
      <c r="J115" s="116">
        <v>20</v>
      </c>
      <c r="K115" s="116">
        <v>20</v>
      </c>
      <c r="L115" s="114">
        <v>20</v>
      </c>
    </row>
    <row r="116" spans="1:12" ht="15" customHeight="1" x14ac:dyDescent="0.25">
      <c r="A116" s="146" t="s">
        <v>216</v>
      </c>
      <c r="B116" s="147"/>
      <c r="C116" s="147"/>
      <c r="D116" s="147"/>
      <c r="E116" s="147"/>
      <c r="F116" s="121">
        <v>5</v>
      </c>
      <c r="G116" s="116">
        <v>10</v>
      </c>
      <c r="H116" s="116">
        <v>30</v>
      </c>
      <c r="I116" s="116">
        <v>35</v>
      </c>
      <c r="J116" s="116">
        <v>20</v>
      </c>
      <c r="K116" s="116">
        <v>20</v>
      </c>
      <c r="L116" s="114">
        <v>20</v>
      </c>
    </row>
    <row r="117" spans="1:12" ht="15" customHeight="1" x14ac:dyDescent="0.25">
      <c r="A117" s="146" t="s">
        <v>217</v>
      </c>
      <c r="B117" s="161"/>
      <c r="C117" s="161"/>
      <c r="D117" s="161"/>
      <c r="E117" s="161"/>
      <c r="F117" s="124">
        <v>0</v>
      </c>
      <c r="G117" s="119">
        <v>3</v>
      </c>
      <c r="H117" s="119">
        <v>0</v>
      </c>
      <c r="I117" s="119">
        <v>0</v>
      </c>
      <c r="J117" s="119">
        <v>3</v>
      </c>
      <c r="K117" s="119">
        <v>3</v>
      </c>
      <c r="L117" s="114">
        <v>3</v>
      </c>
    </row>
    <row r="118" spans="1:12" ht="15" customHeight="1" x14ac:dyDescent="0.25">
      <c r="A118" s="156" t="s">
        <v>70</v>
      </c>
      <c r="B118" s="157"/>
      <c r="C118" s="157"/>
      <c r="D118" s="157"/>
      <c r="E118" s="157"/>
      <c r="F118" s="157"/>
      <c r="G118" s="157"/>
      <c r="H118" s="157"/>
      <c r="I118" s="157"/>
      <c r="J118" s="157"/>
      <c r="K118" s="157"/>
      <c r="L118" s="158"/>
    </row>
    <row r="119" spans="1:12" ht="27.95" customHeight="1" x14ac:dyDescent="0.25">
      <c r="A119" s="154" t="s">
        <v>137</v>
      </c>
      <c r="B119" s="155"/>
      <c r="C119" s="155"/>
      <c r="D119" s="155"/>
      <c r="E119" s="155"/>
      <c r="F119" s="108">
        <v>1</v>
      </c>
      <c r="G119" s="108">
        <v>0.5</v>
      </c>
      <c r="H119" s="108">
        <v>0.5</v>
      </c>
      <c r="I119" s="108">
        <v>0.5</v>
      </c>
      <c r="J119" s="108">
        <v>0.7</v>
      </c>
      <c r="K119" s="108">
        <v>0.7</v>
      </c>
      <c r="L119" s="109">
        <v>0.7</v>
      </c>
    </row>
    <row r="120" spans="1:12" ht="32.1" customHeight="1" x14ac:dyDescent="0.25">
      <c r="A120" s="150" t="s">
        <v>138</v>
      </c>
      <c r="B120" s="151"/>
      <c r="C120" s="151"/>
      <c r="D120" s="151"/>
      <c r="E120" s="151"/>
      <c r="F120" s="55">
        <v>0.6</v>
      </c>
      <c r="G120" s="55">
        <v>0.75</v>
      </c>
      <c r="H120" s="55">
        <v>-0.1</v>
      </c>
      <c r="I120" s="55">
        <v>-0.1</v>
      </c>
      <c r="J120" s="55">
        <v>0.2</v>
      </c>
      <c r="K120" s="55">
        <v>0.5</v>
      </c>
      <c r="L120" s="56">
        <v>0.5</v>
      </c>
    </row>
    <row r="121" spans="1:12" ht="25.5" customHeight="1" x14ac:dyDescent="0.25">
      <c r="A121" s="150" t="s">
        <v>139</v>
      </c>
      <c r="B121" s="151"/>
      <c r="C121" s="151"/>
      <c r="D121" s="151"/>
      <c r="E121" s="151"/>
      <c r="F121" s="57">
        <v>1</v>
      </c>
      <c r="G121" s="57">
        <v>0.5</v>
      </c>
      <c r="H121" s="57">
        <v>-0.2</v>
      </c>
      <c r="I121" s="57">
        <v>-0.2</v>
      </c>
      <c r="J121" s="57">
        <v>0.2</v>
      </c>
      <c r="K121" s="57">
        <v>0.2</v>
      </c>
      <c r="L121" s="58">
        <v>0.2</v>
      </c>
    </row>
    <row r="122" spans="1:12" ht="18" customHeight="1" x14ac:dyDescent="0.25">
      <c r="A122" s="150" t="s">
        <v>140</v>
      </c>
      <c r="B122" s="151"/>
      <c r="C122" s="151"/>
      <c r="D122" s="151"/>
      <c r="E122" s="151"/>
      <c r="F122" s="125">
        <v>60</v>
      </c>
      <c r="G122" s="125">
        <v>60</v>
      </c>
      <c r="H122" s="125">
        <v>20</v>
      </c>
      <c r="I122" s="125">
        <v>0</v>
      </c>
      <c r="J122" s="125">
        <v>30</v>
      </c>
      <c r="K122" s="125">
        <v>60</v>
      </c>
      <c r="L122" s="126">
        <v>60</v>
      </c>
    </row>
    <row r="123" spans="1:12" ht="27" customHeight="1" x14ac:dyDescent="0.25">
      <c r="A123" s="150" t="s">
        <v>141</v>
      </c>
      <c r="B123" s="151"/>
      <c r="C123" s="151"/>
      <c r="D123" s="151"/>
      <c r="E123" s="151"/>
      <c r="F123" s="125">
        <v>5</v>
      </c>
      <c r="G123" s="125">
        <v>5</v>
      </c>
      <c r="H123" s="125">
        <v>3</v>
      </c>
      <c r="I123" s="125">
        <v>5</v>
      </c>
      <c r="J123" s="125">
        <v>5</v>
      </c>
      <c r="K123" s="125">
        <v>5</v>
      </c>
      <c r="L123" s="126">
        <v>5</v>
      </c>
    </row>
    <row r="124" spans="1:12" ht="26.25" customHeight="1" x14ac:dyDescent="0.25">
      <c r="A124" s="150" t="s">
        <v>142</v>
      </c>
      <c r="B124" s="151"/>
      <c r="C124" s="151"/>
      <c r="D124" s="151"/>
      <c r="E124" s="151"/>
      <c r="F124" s="125">
        <v>5</v>
      </c>
      <c r="G124" s="125">
        <v>5</v>
      </c>
      <c r="H124" s="125">
        <v>5</v>
      </c>
      <c r="I124" s="125">
        <v>5</v>
      </c>
      <c r="J124" s="125">
        <v>5</v>
      </c>
      <c r="K124" s="125">
        <v>5</v>
      </c>
      <c r="L124" s="126">
        <v>5</v>
      </c>
    </row>
    <row r="125" spans="1:12" ht="26.25" customHeight="1" x14ac:dyDescent="0.25">
      <c r="A125" s="150" t="s">
        <v>143</v>
      </c>
      <c r="B125" s="151"/>
      <c r="C125" s="151"/>
      <c r="D125" s="151"/>
      <c r="E125" s="151"/>
      <c r="F125" s="125">
        <v>0</v>
      </c>
      <c r="G125" s="125">
        <v>1</v>
      </c>
      <c r="H125" s="125">
        <v>0</v>
      </c>
      <c r="I125" s="125">
        <v>0</v>
      </c>
      <c r="J125" s="125">
        <v>1</v>
      </c>
      <c r="K125" s="125"/>
      <c r="L125" s="126">
        <v>0</v>
      </c>
    </row>
    <row r="126" spans="1:12" ht="26.25" customHeight="1" x14ac:dyDescent="0.25">
      <c r="A126" s="150" t="s">
        <v>144</v>
      </c>
      <c r="B126" s="151"/>
      <c r="C126" s="151"/>
      <c r="D126" s="151"/>
      <c r="E126" s="151"/>
      <c r="F126" s="125">
        <v>0</v>
      </c>
      <c r="G126" s="125">
        <v>1</v>
      </c>
      <c r="H126" s="125">
        <v>0</v>
      </c>
      <c r="I126" s="125">
        <v>0</v>
      </c>
      <c r="J126" s="125">
        <v>1</v>
      </c>
      <c r="K126" s="125">
        <v>0</v>
      </c>
      <c r="L126" s="126">
        <v>0</v>
      </c>
    </row>
    <row r="127" spans="1:12" ht="26.25" customHeight="1" x14ac:dyDescent="0.25">
      <c r="A127" s="150" t="s">
        <v>145</v>
      </c>
      <c r="B127" s="151"/>
      <c r="C127" s="151"/>
      <c r="D127" s="151"/>
      <c r="E127" s="151"/>
      <c r="F127" s="125">
        <v>2</v>
      </c>
      <c r="G127" s="125">
        <v>2</v>
      </c>
      <c r="H127" s="125">
        <v>2</v>
      </c>
      <c r="I127" s="125">
        <v>2</v>
      </c>
      <c r="J127" s="125">
        <v>2</v>
      </c>
      <c r="K127" s="125">
        <v>2</v>
      </c>
      <c r="L127" s="126">
        <v>2</v>
      </c>
    </row>
    <row r="128" spans="1:12" ht="26.25" customHeight="1" x14ac:dyDescent="0.25">
      <c r="A128" s="150" t="s">
        <v>146</v>
      </c>
      <c r="B128" s="151"/>
      <c r="C128" s="151"/>
      <c r="D128" s="151"/>
      <c r="E128" s="151"/>
      <c r="F128" s="125">
        <v>2</v>
      </c>
      <c r="G128" s="125">
        <v>2</v>
      </c>
      <c r="H128" s="125">
        <v>2</v>
      </c>
      <c r="I128" s="125">
        <v>0</v>
      </c>
      <c r="J128" s="125">
        <v>2</v>
      </c>
      <c r="K128" s="125">
        <v>2</v>
      </c>
      <c r="L128" s="126">
        <v>2</v>
      </c>
    </row>
    <row r="129" spans="1:12" ht="26.25" customHeight="1" thickBot="1" x14ac:dyDescent="0.3">
      <c r="A129" s="152" t="s">
        <v>147</v>
      </c>
      <c r="B129" s="153"/>
      <c r="C129" s="153"/>
      <c r="D129" s="153"/>
      <c r="E129" s="153"/>
      <c r="F129" s="127">
        <v>2</v>
      </c>
      <c r="G129" s="127">
        <v>2</v>
      </c>
      <c r="H129" s="127">
        <v>2</v>
      </c>
      <c r="I129" s="127">
        <v>0</v>
      </c>
      <c r="J129" s="127">
        <v>2</v>
      </c>
      <c r="K129" s="127">
        <v>2</v>
      </c>
      <c r="L129" s="128">
        <v>2</v>
      </c>
    </row>
    <row r="130" spans="1:12" ht="26.25" customHeight="1" x14ac:dyDescent="0.25"/>
    <row r="131" spans="1:12" ht="26.25" customHeight="1" x14ac:dyDescent="0.25"/>
    <row r="132" spans="1:12" ht="26.25" customHeight="1" x14ac:dyDescent="0.25"/>
    <row r="133" spans="1:12" ht="26.25" customHeight="1" x14ac:dyDescent="0.25"/>
  </sheetData>
  <sheetProtection algorithmName="SHA-512" hashValue="IgYFMqpdu0RQ4s6ZY6GvmTbgQknd0UTenZ2Nz88mx+uO2xmBulMyBq8+MAy4Y3EwoQCN+5zjKEOw722wuLXNYA==" saltValue="Ki2JZbdXsg9zPy7A0tT1dw==" spinCount="100000" sheet="1" formatCells="0" formatColumns="0" formatRows="0" insertColumns="0" insertRows="0" insertHyperlinks="0" deleteColumns="0" deleteRows="0" sort="0" autoFilter="0" pivotTables="0"/>
  <mergeCells count="130">
    <mergeCell ref="A15:L15"/>
    <mergeCell ref="A16:E16"/>
    <mergeCell ref="A17:E17"/>
    <mergeCell ref="A18:E18"/>
    <mergeCell ref="A20:E20"/>
    <mergeCell ref="A25:L25"/>
    <mergeCell ref="A43:L43"/>
    <mergeCell ref="A7:L7"/>
    <mergeCell ref="A1:L1"/>
    <mergeCell ref="A2:L2"/>
    <mergeCell ref="A3:L3"/>
    <mergeCell ref="A5:L5"/>
    <mergeCell ref="A6:L6"/>
    <mergeCell ref="A19:E19"/>
    <mergeCell ref="A8:L8"/>
    <mergeCell ref="A9:L9"/>
    <mergeCell ref="A10:L10"/>
    <mergeCell ref="B11:E11"/>
    <mergeCell ref="A12:E12"/>
    <mergeCell ref="A13:E13"/>
    <mergeCell ref="A14:E14"/>
    <mergeCell ref="A23:F23"/>
    <mergeCell ref="G23:L23"/>
    <mergeCell ref="A24:L24"/>
    <mergeCell ref="A44:L44"/>
    <mergeCell ref="A45:L45"/>
    <mergeCell ref="A46:E46"/>
    <mergeCell ref="A47:L47"/>
    <mergeCell ref="A21:L21"/>
    <mergeCell ref="A22:F22"/>
    <mergeCell ref="G22:L22"/>
    <mergeCell ref="A36:L36"/>
    <mergeCell ref="A37:L37"/>
    <mergeCell ref="A42:L42"/>
    <mergeCell ref="A38:L38"/>
    <mergeCell ref="A39:L39"/>
    <mergeCell ref="A40:L40"/>
    <mergeCell ref="A41:L41"/>
    <mergeCell ref="A26:L26"/>
    <mergeCell ref="A27:L27"/>
    <mergeCell ref="A28:L28"/>
    <mergeCell ref="A29:L29"/>
    <mergeCell ref="A30:L30"/>
    <mergeCell ref="A31:L31"/>
    <mergeCell ref="A32:L32"/>
    <mergeCell ref="A33:L33"/>
    <mergeCell ref="A34:L34"/>
    <mergeCell ref="A35:L35"/>
    <mergeCell ref="A61:E61"/>
    <mergeCell ref="A66:E66"/>
    <mergeCell ref="A67:E67"/>
    <mergeCell ref="A68:E68"/>
    <mergeCell ref="A70:E70"/>
    <mergeCell ref="A71:E71"/>
    <mergeCell ref="A62:E62"/>
    <mergeCell ref="A63:E63"/>
    <mergeCell ref="A64:E64"/>
    <mergeCell ref="A65:E65"/>
    <mergeCell ref="A121:E121"/>
    <mergeCell ref="A120:E120"/>
    <mergeCell ref="A119:E119"/>
    <mergeCell ref="A69:E69"/>
    <mergeCell ref="A122:E122"/>
    <mergeCell ref="A123:E123"/>
    <mergeCell ref="A72:E72"/>
    <mergeCell ref="A118:L118"/>
    <mergeCell ref="A73:E73"/>
    <mergeCell ref="A74:E74"/>
    <mergeCell ref="A102:E102"/>
    <mergeCell ref="A94:E94"/>
    <mergeCell ref="A95:E95"/>
    <mergeCell ref="A96:E96"/>
    <mergeCell ref="A97:E97"/>
    <mergeCell ref="A98:E98"/>
    <mergeCell ref="A103:E103"/>
    <mergeCell ref="A117:E117"/>
    <mergeCell ref="A104:E104"/>
    <mergeCell ref="A105:E105"/>
    <mergeCell ref="A106:E106"/>
    <mergeCell ref="A107:E107"/>
    <mergeCell ref="A108:E108"/>
    <mergeCell ref="A109:E109"/>
    <mergeCell ref="A124:E124"/>
    <mergeCell ref="A125:E125"/>
    <mergeCell ref="A126:E126"/>
    <mergeCell ref="A127:E127"/>
    <mergeCell ref="A128:E128"/>
    <mergeCell ref="A129:E129"/>
    <mergeCell ref="A53:E53"/>
    <mergeCell ref="A54:E54"/>
    <mergeCell ref="A55:E55"/>
    <mergeCell ref="A56:E56"/>
    <mergeCell ref="A57:E57"/>
    <mergeCell ref="A89:E89"/>
    <mergeCell ref="A90:E90"/>
    <mergeCell ref="A91:E91"/>
    <mergeCell ref="A92:E92"/>
    <mergeCell ref="A93:E93"/>
    <mergeCell ref="A84:E84"/>
    <mergeCell ref="A85:E85"/>
    <mergeCell ref="A86:E86"/>
    <mergeCell ref="A87:E87"/>
    <mergeCell ref="A88:E88"/>
    <mergeCell ref="A99:E99"/>
    <mergeCell ref="A100:E100"/>
    <mergeCell ref="A101:E101"/>
    <mergeCell ref="A110:E110"/>
    <mergeCell ref="A112:E112"/>
    <mergeCell ref="A113:E113"/>
    <mergeCell ref="A114:E114"/>
    <mergeCell ref="A115:E115"/>
    <mergeCell ref="A116:E116"/>
    <mergeCell ref="A111:E111"/>
    <mergeCell ref="A48:E48"/>
    <mergeCell ref="A49:E49"/>
    <mergeCell ref="A50:E50"/>
    <mergeCell ref="A51:E51"/>
    <mergeCell ref="A52:E52"/>
    <mergeCell ref="A80:E80"/>
    <mergeCell ref="A81:E81"/>
    <mergeCell ref="A82:E82"/>
    <mergeCell ref="A83:E83"/>
    <mergeCell ref="A75:E75"/>
    <mergeCell ref="A76:E76"/>
    <mergeCell ref="A77:E77"/>
    <mergeCell ref="A78:E78"/>
    <mergeCell ref="A79:E79"/>
    <mergeCell ref="A58:E58"/>
    <mergeCell ref="A59:E59"/>
    <mergeCell ref="A60:E60"/>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Statutory Body Budget</vt:lpstr>
      <vt:lpstr>Statutory Body HR</vt:lpstr>
      <vt:lpstr>Statutory Body KPI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GoA</dc:creator>
  <cp:lastModifiedBy>Marisa Harding Hodge</cp:lastModifiedBy>
  <cp:lastPrinted>2020-11-30T17:57:25Z</cp:lastPrinted>
  <dcterms:created xsi:type="dcterms:W3CDTF">2020-08-17T12:56:08Z</dcterms:created>
  <dcterms:modified xsi:type="dcterms:W3CDTF">2021-02-11T20:04:47Z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